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35" activeTab="0"/>
  </bookViews>
  <sheets>
    <sheet name="別紙様式２４" sheetId="1" r:id="rId1"/>
    <sheet name="関係会社の範囲" sheetId="2" r:id="rId2"/>
  </sheets>
  <definedNames>
    <definedName name="_xlfn.IFERROR" hidden="1">#NAME?</definedName>
    <definedName name="_xlnm.Print_Area" localSheetId="0">'別紙様式２４'!$E$1:$AR$433</definedName>
    <definedName name="solver_eng" localSheetId="0" hidden="1">1</definedName>
    <definedName name="solver_neg" localSheetId="0" hidden="1">1</definedName>
    <definedName name="solver_num" localSheetId="0" hidden="1">0</definedName>
    <definedName name="solver_opt" localSheetId="0" hidden="1">'別紙様式２４'!$AT$111</definedName>
    <definedName name="solver_typ" localSheetId="0" hidden="1">1</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金融庁</author>
  </authors>
  <commentList>
    <comment ref="F10"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 ref="Y22"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List>
</comments>
</file>

<file path=xl/sharedStrings.xml><?xml version="1.0" encoding="utf-8"?>
<sst xmlns="http://schemas.openxmlformats.org/spreadsheetml/2006/main" count="1490" uniqueCount="606">
  <si>
    <t>⑴　新規契約状況</t>
  </si>
  <si>
    <t>　</t>
  </si>
  <si>
    <t>件　数　等</t>
  </si>
  <si>
    <t>新規申込件数</t>
  </si>
  <si>
    <t>新規契約件数</t>
  </si>
  <si>
    <t>新規契約率</t>
  </si>
  <si>
    <t>％</t>
  </si>
  <si>
    <t>３</t>
  </si>
  <si>
    <t>(2-1)　新規貸付状況</t>
  </si>
  <si>
    <t>　</t>
  </si>
  <si>
    <t>新規貸付総額</t>
  </si>
  <si>
    <t>新規貸付件数</t>
  </si>
  <si>
    <t>新規平均貸付額</t>
  </si>
  <si>
    <t>　新規貸付総額は、当該年度に行った新規顧客に対する初回貸付の総額を記載する。</t>
  </si>
  <si>
    <t>３</t>
  </si>
  <si>
    <t>　新規平均貸付額は、新規貸付総額を新規貸付件数で除した数字を記載する。</t>
  </si>
  <si>
    <t>(2-2)　当該年度の貸付状況</t>
  </si>
  <si>
    <t>　</t>
  </si>
  <si>
    <t>当該年度貸付総額</t>
  </si>
  <si>
    <t>当該年度貸付件数</t>
  </si>
  <si>
    <t>当該年度平均貸付額</t>
  </si>
  <si>
    <t>　貸付総額は、当該年度に行った貸付けの総額を記載する。</t>
  </si>
  <si>
    <t>２</t>
  </si>
  <si>
    <t>　貸付件数は、当該年度に行った貸付けの件数を記載する。</t>
  </si>
  <si>
    <t>３</t>
  </si>
  <si>
    <t>　平均貸付額は、貸付総額を貸付件数で除した数字を記載する。</t>
  </si>
  <si>
    <t>１　件　当　た　り　平　均　貸　付　残　高</t>
  </si>
  <si>
    <t>「合計」欄の件数及び残高は、「表１」の消費者向無担保貸付金の件数及び残高と一致する。</t>
  </si>
  <si>
    <t>29.2</t>
  </si>
  <si>
    <t>別紙様式24</t>
  </si>
  <si>
    <t>業　　務　　報　　告　　書</t>
  </si>
  <si>
    <t>殿</t>
  </si>
  <si>
    <t>届出者</t>
  </si>
  <si>
    <t>登録番号</t>
  </si>
  <si>
    <t>住　　所</t>
  </si>
  <si>
    <t>商　　号
又は名称</t>
  </si>
  <si>
    <t>氏　　名</t>
  </si>
  <si>
    <t>（法人にあっては、代表者の氏名）</t>
  </si>
  <si>
    <t>法定代理人</t>
  </si>
  <si>
    <t>目　　次</t>
  </si>
  <si>
    <t>１</t>
  </si>
  <si>
    <t>貸付金の種別残高</t>
  </si>
  <si>
    <t>２</t>
  </si>
  <si>
    <t>業種別貸付残高</t>
  </si>
  <si>
    <t>３</t>
  </si>
  <si>
    <t>貸付金の金額別内訳</t>
  </si>
  <si>
    <t>４</t>
  </si>
  <si>
    <t>貸付金の期間別内訳</t>
  </si>
  <si>
    <t>貸付金の金利別内訳</t>
  </si>
  <si>
    <t>貸付金の種別内訳（除外貸付・例外貸付）</t>
  </si>
  <si>
    <t>総量規制超過部分の貸付残高</t>
  </si>
  <si>
    <t>消費者向無担保貸付金の金額別内訳</t>
  </si>
  <si>
    <t>消費者向無担保貸付金の金利別内訳</t>
  </si>
  <si>
    <t>消費者向無担保貸付金の新規契約状況等</t>
  </si>
  <si>
    <t>貸金業協会等への加入状況等</t>
  </si>
  <si>
    <t>（記載上の注意）</t>
  </si>
  <si>
    <t>１</t>
  </si>
  <si>
    <t>５</t>
  </si>
  <si>
    <t>６</t>
  </si>
  <si>
    <t>７</t>
  </si>
  <si>
    <t>８</t>
  </si>
  <si>
    <t>９</t>
  </si>
  <si>
    <t>10</t>
  </si>
  <si>
    <t>11</t>
  </si>
  <si>
    <t>12</t>
  </si>
  <si>
    <t>13</t>
  </si>
  <si>
    <t>件　数</t>
  </si>
  <si>
    <t>残　高</t>
  </si>
  <si>
    <t>平均約定金利</t>
  </si>
  <si>
    <t>構成割合</t>
  </si>
  <si>
    <t>消
費
者
向</t>
  </si>
  <si>
    <t>件</t>
  </si>
  <si>
    <t>％</t>
  </si>
  <si>
    <t>％</t>
  </si>
  <si>
    <t>計</t>
  </si>
  <si>
    <t>合　　　　　計</t>
  </si>
  <si>
    <t>　担保には保証を含まない。</t>
  </si>
  <si>
    <t>先　　　　　数</t>
  </si>
  <si>
    <t>残　　　　　高</t>
  </si>
  <si>
    <t>構成割合</t>
  </si>
  <si>
    <t>％</t>
  </si>
  <si>
    <t>建設業</t>
  </si>
  <si>
    <t>製造業</t>
  </si>
  <si>
    <t>電気・ガス・熱供給・水道業</t>
  </si>
  <si>
    <t>情報通信業</t>
  </si>
  <si>
    <t>医療、福祉</t>
  </si>
  <si>
    <t>教育、学習支援業</t>
  </si>
  <si>
    <t>サービス業（他に分類されないもの）</t>
  </si>
  <si>
    <t>個人</t>
  </si>
  <si>
    <t>その他</t>
  </si>
  <si>
    <t>２</t>
  </si>
  <si>
    <t>　業種は、日本標準産業分類により分類する。</t>
  </si>
  <si>
    <t>３</t>
  </si>
  <si>
    <t>　「先数」は名寄せした債務者数を記載する。</t>
  </si>
  <si>
    <t>　残高合計は、「表１」の残高合計と一致する。</t>
  </si>
  <si>
    <t>４</t>
  </si>
  <si>
    <t>７</t>
  </si>
  <si>
    <t>件　　　　　数</t>
  </si>
  <si>
    <t>10</t>
  </si>
  <si>
    <t>万円以下</t>
  </si>
  <si>
    <t>10</t>
  </si>
  <si>
    <t>万円超</t>
  </si>
  <si>
    <t>30</t>
  </si>
  <si>
    <t>　〃</t>
  </si>
  <si>
    <t>50</t>
  </si>
  <si>
    <t>　 〃</t>
  </si>
  <si>
    <t>100</t>
  </si>
  <si>
    <t>500</t>
  </si>
  <si>
    <t>1,000</t>
  </si>
  <si>
    <t>5,000</t>
  </si>
  <si>
    <t>1</t>
  </si>
  <si>
    <t>億円以下</t>
  </si>
  <si>
    <t>億円超</t>
  </si>
  <si>
    <t>5</t>
  </si>
  <si>
    <t>100億円超</t>
  </si>
  <si>
    <t>合計</t>
  </si>
  <si>
    <t>1年以下</t>
  </si>
  <si>
    <t>1</t>
  </si>
  <si>
    <t>年超</t>
  </si>
  <si>
    <t>5</t>
  </si>
  <si>
    <t>年以下</t>
  </si>
  <si>
    <t>5</t>
  </si>
  <si>
    <t xml:space="preserve"> 〃</t>
  </si>
  <si>
    <t>10</t>
  </si>
  <si>
    <t>　〃</t>
  </si>
  <si>
    <t>15</t>
  </si>
  <si>
    <t>20</t>
  </si>
  <si>
    <t>25</t>
  </si>
  <si>
    <t>合計</t>
  </si>
  <si>
    <t>１　　件　　当　　た　　り　　平　　均　　約　　定　　期　　間</t>
  </si>
  <si>
    <t>４</t>
  </si>
  <si>
    <t>　　　10.0 %以下</t>
  </si>
  <si>
    <t>　　　10.0 %超　　　15.0 %以下</t>
  </si>
  <si>
    <t>　　　15.0  〃　　　18.0  〃</t>
  </si>
  <si>
    <t>　 　 18.0  〃　　　20.0  〃</t>
  </si>
  <si>
    <t>　　　20.0  〃　　　29.2  〃</t>
  </si>
  <si>
    <t>　　　29.2  〃</t>
  </si>
  <si>
    <t>合　計</t>
  </si>
  <si>
    <t>「合計」欄の件数及び残高は、「表１」の合計件数及び合計残高と一致する。</t>
  </si>
  <si>
    <t>除　外　貸　付</t>
  </si>
  <si>
    <t>　施行規則第10条の21第1項第1号で定める契約</t>
  </si>
  <si>
    <t>　施行規則第10条の21第1項第2号で定める契約</t>
  </si>
  <si>
    <t>　施行規則第10条の21第1項第3号で定める契約</t>
  </si>
  <si>
    <t>　施行規則第10条の21第1項第4号で定める契約</t>
  </si>
  <si>
    <t>　施行規則第10条の21第1項第5号で定める契約</t>
  </si>
  <si>
    <t>　施行規則第10条の21第1項第6号で定める契約</t>
  </si>
  <si>
    <t>　施行規則第10条の21第1項第7号で定める契約</t>
  </si>
  <si>
    <t>　施行規則第10条の21第1項第8号で定める契約</t>
  </si>
  <si>
    <t>例  外  貸  付</t>
  </si>
  <si>
    <t>　施行規則第10条の23第1項第1号で定める契約</t>
  </si>
  <si>
    <t>　施行規則第10条の23第1項第1号の2で定める契約</t>
  </si>
  <si>
    <t>　施行規則第10条の23第1項第2号で定める契約</t>
  </si>
  <si>
    <t>　施行規則第10条の23第1項第2号の2及び施行規則第10条の28第1項第1号で定める契約</t>
  </si>
  <si>
    <t>　施行規則第10条の23第1項第6号で定める契約</t>
  </si>
  <si>
    <t>　「除外貸付」とは、法第13条の2第2項に規定する住宅資金貸付契約その他の内閣府令で定める契約をいう。</t>
  </si>
  <si>
    <t>　施行規則第10条の23第1項第3号及び施行規則第10条の28第1項第2号で定める契約</t>
  </si>
  <si>
    <t>　施行規則第10条の23第1項第4号及び施行規則第10条の28第1項第3号で定める契約</t>
  </si>
  <si>
    <t>　施行規則第10条の23第1項第5号及び施行規則第10条の28第1項第4号で定める契約</t>
  </si>
  <si>
    <t>残　　　高</t>
  </si>
  <si>
    <t>総量規制超過部分の貸付残高
（自社貸付残高）</t>
  </si>
  <si>
    <t>20</t>
  </si>
  <si>
    <t>70</t>
  </si>
  <si>
    <t>150</t>
  </si>
  <si>
    <t>200</t>
  </si>
  <si>
    <t>300</t>
  </si>
  <si>
    <t>300万円超</t>
  </si>
  <si>
    <t>１　　件　　当　　た　　り　　平　　均　　貸　　付　　残　　高　　</t>
  </si>
  <si>
    <t>10.0</t>
  </si>
  <si>
    <t>％以下</t>
  </si>
  <si>
    <t>10.0</t>
  </si>
  <si>
    <t>％超</t>
  </si>
  <si>
    <t>15.0</t>
  </si>
  <si>
    <t>　〃</t>
  </si>
  <si>
    <t>18.0</t>
  </si>
  <si>
    <t>　 〃</t>
  </si>
  <si>
    <t>20.0</t>
  </si>
  <si>
    <t>29.2</t>
  </si>
  <si>
    <t>合計</t>
  </si>
  <si>
    <t>20.0</t>
  </si>
  <si>
    <t>　〃</t>
  </si>
  <si>
    <t>29.2</t>
  </si>
  <si>
    <t>100</t>
  </si>
  <si>
    <t>100</t>
  </si>
  <si>
    <t>1000</t>
  </si>
  <si>
    <t>5000</t>
  </si>
  <si>
    <t>億円超</t>
  </si>
  <si>
    <t>5</t>
  </si>
  <si>
    <t>　 〃</t>
  </si>
  <si>
    <t>　〃</t>
  </si>
  <si>
    <t>10</t>
  </si>
  <si>
    <t>10億円超</t>
  </si>
  <si>
    <t>合計</t>
  </si>
  <si>
    <t>１　　件　　当　　た　　り　　平　　均　　貸　　付　　残　　高　　</t>
  </si>
  <si>
    <t>　「合計」欄の件数及び残高は、「表１」の事業者向無担保貸付金の件数及び残高と一致する。</t>
  </si>
  <si>
    <t>２</t>
  </si>
  <si>
    <t>5.0</t>
  </si>
  <si>
    <t>5.0</t>
  </si>
  <si>
    <t>10.0</t>
  </si>
  <si>
    <t>　〃</t>
  </si>
  <si>
    <t>15.0</t>
  </si>
  <si>
    <t>　 〃</t>
  </si>
  <si>
    <t>18.0</t>
  </si>
  <si>
    <t>20.0</t>
  </si>
  <si>
    <t>29.2</t>
  </si>
  <si>
    <t>合計</t>
  </si>
  <si>
    <t>運輸業、郵便業</t>
  </si>
  <si>
    <t>卸売業、小売業</t>
  </si>
  <si>
    <t>金融業、保険業</t>
  </si>
  <si>
    <t>不動産業、物品賃貸業</t>
  </si>
  <si>
    <t>宿泊業、飲食サービス業</t>
  </si>
  <si>
    <t>複合サービス事業</t>
  </si>
  <si>
    <t/>
  </si>
  <si>
    <t>１</t>
  </si>
  <si>
    <t>残　高</t>
  </si>
  <si>
    <t>平均約定金利</t>
  </si>
  <si>
    <t>　</t>
  </si>
  <si>
    <t>関東財務局長</t>
  </si>
  <si>
    <t>北海道財務局長</t>
  </si>
  <si>
    <t>東北財務局長</t>
  </si>
  <si>
    <t>北陸財務局長</t>
  </si>
  <si>
    <t>東海財務局長</t>
  </si>
  <si>
    <t>近畿財務局長</t>
  </si>
  <si>
    <t>中国財務局長</t>
  </si>
  <si>
    <t>四国財務局長</t>
  </si>
  <si>
    <t>九州財務局長</t>
  </si>
  <si>
    <t>福岡財務支局長</t>
  </si>
  <si>
    <t>沖縄総合事務局長</t>
  </si>
  <si>
    <t>北海道知事</t>
  </si>
  <si>
    <t>青森県知事</t>
  </si>
  <si>
    <t>岩手県知事</t>
  </si>
  <si>
    <t>秋田県知事</t>
  </si>
  <si>
    <t>宮城県知事</t>
  </si>
  <si>
    <t>山形県知事</t>
  </si>
  <si>
    <t>福島県知事</t>
  </si>
  <si>
    <t>栃木県知事</t>
  </si>
  <si>
    <t>群馬県知事</t>
  </si>
  <si>
    <t>茨城県知事</t>
  </si>
  <si>
    <t>埼玉県知事</t>
  </si>
  <si>
    <t>東京都知事</t>
  </si>
  <si>
    <t>千葉県知事</t>
  </si>
  <si>
    <t>神奈川県知事</t>
  </si>
  <si>
    <t>新潟県知事</t>
  </si>
  <si>
    <t>山梨県知事</t>
  </si>
  <si>
    <t>長野県知事</t>
  </si>
  <si>
    <t>富山県知事</t>
  </si>
  <si>
    <t>石川県知事</t>
  </si>
  <si>
    <t>静岡県知事</t>
  </si>
  <si>
    <t>愛知県知事</t>
  </si>
  <si>
    <t>岐阜県知事</t>
  </si>
  <si>
    <t>三重県知事</t>
  </si>
  <si>
    <t>滋賀県知事</t>
  </si>
  <si>
    <t>福井県知事</t>
  </si>
  <si>
    <t>京都府知事</t>
  </si>
  <si>
    <t>奈良県知事</t>
  </si>
  <si>
    <t>大阪府知事</t>
  </si>
  <si>
    <t>和歌山県知事</t>
  </si>
  <si>
    <t>岡山県知事</t>
  </si>
  <si>
    <t>広島県知事</t>
  </si>
  <si>
    <t>鳥取県知事</t>
  </si>
  <si>
    <t>島根県知事</t>
  </si>
  <si>
    <t>山口県知事</t>
  </si>
  <si>
    <t>徳島県知事</t>
  </si>
  <si>
    <t>香川県知事</t>
  </si>
  <si>
    <t>愛媛県知事</t>
  </si>
  <si>
    <t>高知県知事</t>
  </si>
  <si>
    <t>福岡県知事</t>
  </si>
  <si>
    <t>佐賀県知事</t>
  </si>
  <si>
    <t>長崎県知事</t>
  </si>
  <si>
    <t>大分県知事</t>
  </si>
  <si>
    <t>熊本県知事</t>
  </si>
  <si>
    <t>宮崎県知事</t>
  </si>
  <si>
    <t>鹿児島県知事</t>
  </si>
  <si>
    <t>沖縄県知事</t>
  </si>
  <si>
    <t>（郵便番号</t>
  </si>
  <si>
    <t>）</t>
  </si>
  <si>
    <t>電話番号</t>
  </si>
  <si>
    <t xml:space="preserve"> </t>
  </si>
  <si>
    <t>　　　　　　　　　　　　　件数・残高
　貸付種別　　</t>
  </si>
  <si>
    <t xml:space="preserve">農 業 、 林 業 、 漁 業 </t>
  </si>
  <si>
    <t>合　　　　　　　　計　</t>
  </si>
  <si>
    <t>２</t>
  </si>
  <si>
    <t>残　　　　　高</t>
  </si>
  <si>
    <t>事業者向</t>
  </si>
  <si>
    <t>手　　形　　割　　引
（関係会社向を除く）</t>
  </si>
  <si>
    <t>関　係　会　社　向</t>
  </si>
  <si>
    <t>無　　　担　　　保
（住宅向を除く）</t>
  </si>
  <si>
    <t>有　　　担　　　保
（住宅向を除く）</t>
  </si>
  <si>
    <t>住　　　宅　　　向</t>
  </si>
  <si>
    <t>無　　　　担　　　　保
（関係会社向を除く）</t>
  </si>
  <si>
    <t>有　　　　担　　　　保
（関係会社向を除く）</t>
  </si>
  <si>
    <t>　 〃</t>
  </si>
  <si>
    <t>　　　　　　　　　　　　　　　件数・残高
　金　額　別</t>
  </si>
  <si>
    <t>　　　　　　　　　            　件数・残高
　期　間　別</t>
  </si>
  <si>
    <t>　　　　　　　　　　　　　　　件数・残高
　金　利　別</t>
  </si>
  <si>
    <t>　　　　　　　　　　　　　件数・残高
　貸付種別</t>
  </si>
  <si>
    <t xml:space="preserve"> 千円</t>
  </si>
  <si>
    <t>百万円</t>
  </si>
  <si>
    <t>件</t>
  </si>
  <si>
    <t xml:space="preserve"> 千円</t>
  </si>
  <si>
    <t>○</t>
  </si>
  <si>
    <t>　「住宅向」は住宅購入を目的とするいわゆる住宅ローンをいうこととし、住宅を担保に住宅ローン
以外の貸付けを行う場合を含まない。</t>
  </si>
  <si>
    <t>　事業を営む個人顧客については、施行規則第10条の23第1項第4号及び第5号、同規則第10条の28第1項
第3号及び第4号に定める契約に係る貸付けについては、事業性があるものとみなし、それぞれの業種別の欄
に計上する。また、施行規則第10条の22第1項第4号に掲げる金額を基に算出した法第13条の2第2項に定め
る基準額の範囲内で契約した貸付けについては「個人」の欄に計上する。</t>
  </si>
  <si>
    <t>　「例外貸付」とは、法第13条の2第2項に規定する個人顧客の利益の保護に支障を生ずることがない契約（法
第13の3第5項に規定する個人顧客の利益の保護に支障を生ずることがない極度方式基本契約を含む。）として
内閣府令で定めるものをいう。</t>
  </si>
  <si>
    <t>　１　貸金業協会に加盟している</t>
  </si>
  <si>
    <t>（記載上の注意）</t>
  </si>
  <si>
    <t>　上記１から３の数字について把握できない場合は、「(2-2)　当該年度の貸付状況」を記載すること
（本表(2-1)の記載は不要）。</t>
  </si>
  <si>
    <t>　「関係会社向」は提出業者の関係会社及び提出業者の親会社の関係会社に対する貸付けを
記載する。</t>
  </si>
  <si>
    <t>２　「自己資金」とは、資産の合計額から負債の合計額を控除した額をいう。</t>
  </si>
  <si>
    <t>３　「自己資本」とは、資産の合計額より負債の合計額並びに配当金及び役員賞与金の予定額を控除し、引当金
　（特別法上の引当金を含む。）の合計額を加えた額をいう。</t>
  </si>
  <si>
    <t>４　「合計」欄の件数及び残高は、「表１」の合計件数及び合計残高と一致する。</t>
  </si>
  <si>
    <t>５　「1件当たり平均貸付残高」は、小数点第３位を切捨て第２位までを記載する。例：1.25、0.36等</t>
  </si>
  <si>
    <t>　　　　　　　　　　　　　先数・残高
　貸付種別</t>
  </si>
  <si>
    <t>１　「合計」欄の件数及び残高は、「表１」の事業者向無担保貸付金の件数及び残高と一致する。</t>
  </si>
  <si>
    <t>２　「１件当たり平均貸付残高」は、小数点第３位を切り捨て第２位までを記載する。例：1.25、0.36等</t>
  </si>
  <si>
    <t>先　数</t>
  </si>
  <si>
    <t>財務（支）局長</t>
  </si>
  <si>
    <t>直近の決算期</t>
  </si>
  <si>
    <t>事業者向無担保貸付金の金額別内訳</t>
  </si>
  <si>
    <t>事業者向無担保貸付金の金利別内訳</t>
  </si>
  <si>
    <t>２　「連絡者」は、業務報告書の作成担当者の所属部署及び氏名を記載する。</t>
  </si>
  <si>
    <t>３　目次に掲げる各表について、該当がない場合も「該当なし」の旨記載して提出する。</t>
  </si>
  <si>
    <t>５　各表の「構成割合」は、合計に対する割合を小数点第３位を切り捨て第２位まで記載する。</t>
  </si>
  <si>
    <t>７　各表中、「関係会社」とあるのは、提出業者の親会社、子会社及び関連会社並びに提出業者が
　他の会社等の関連会社である場合における当該他の会社等をいい、「親会社」、「子会社」及び
　「関連会社」とは、「財務諸表等の用語、様式及び作成方法に関する規則」（昭和38年大蔵省令
　第59号）第8条に規定する「親会社」、「子会社」及び「関連会社」をいう。</t>
  </si>
  <si>
    <t>８　各表の「件数」は、契約件数を記載する。なお、極度方式貸付けについては、極度方式基本契約
　に基づく貸付け毎の件数ではなく、極度方式基本契約の件数を記載する。</t>
  </si>
  <si>
    <t>９　各表の「残高」は、貸付当初の元本、極度方式基本契約の極度額ではなく、残元本を記載する。</t>
  </si>
  <si>
    <t>10　「平均約定金利」は、加重平均により小数点第３位を切り捨て第２位までを記載する。</t>
  </si>
  <si>
    <t>　　例 ： 無担保貸付残高が55万円、その内訳が18.55%で25万円、17.80%で15万円、9.07%で15万円の
　　　　場合
　　　　　　→　(25×18.55%＋15×17.80%＋15×9.07%)÷55＝0.1576(15.76%)
　　　　　なお、算出不能の場合は推定値を記載する。</t>
  </si>
  <si>
    <t>１　貸付残高が直近の事業年度末における自己資金（法人の場合は自己資本）の額を超える貸付先すべて（ただ
　し、当該先が20に満たない場合は、貸付残高上位20位までの貸付先）について、それぞれの貸付先名、業種、
　貸付件数及び貸付残高を記載した別途の表（任意様式）を併せて提出する。（自己資金又は自己資本を超える
　貸付先が無い場合は別途の表の提出は不要）</t>
  </si>
  <si>
    <t>２　「１件当たり平均約定期間」は加重平均により小数点第３位を切り捨て第２位までを記載する。</t>
  </si>
  <si>
    <t>１　期間は約定期間による。</t>
  </si>
  <si>
    <t>　　　例 ： 1年以下が2件、1年超5年以下の2年が3件、3年が5件、5年超10年以下の6年が3件、
　　　　　　7年が3件の場合
　　　　　　　→　(1×2＋2×3＋3×5＋6×3＋7×3)÷(2＋3＋5＋3＋3)＝3.875 （3.87年）
　　　なお、算出不能の場合は推定値を記載する。　</t>
  </si>
  <si>
    <t>３　「合計」欄の件数及び残高は、「表１」の合計件数及び合計残高と一致する。</t>
  </si>
  <si>
    <t>１　「先数」は、本報告書作成時点で個人顧客と極度方式基本契約を締結している場合において、直近で実施
　した法第13条の３第１項及び第２項の規定による調査（途上与信調査）の結果、同条第５項に規定する「基準
　額超過極度方式基本契約」に該当すると認められた極度方式基本契約（下記２において「当該契約」という。）
　に係る個人顧客の先数を記載する。</t>
  </si>
  <si>
    <t>２　「残高」は、当該契約に係る個人顧客に対する提出業者の３月末時点の貸付残高（当該契約の残元本及び
　当該契約以外の貸付けに係る契約を同一顧客と締結している場合にはその残元本。）のうち、当該個人顧客
　に係る法第13条の２第２項に規定する「基準額」を超過している額を記載する。</t>
  </si>
  <si>
    <t>２　新規契約件数は、当該年度の契約件数（既存顧客との契約件数を含み、貸付条件変更に係るものは除く。）を
　記載する。</t>
  </si>
  <si>
    <t>３　新規契約率は、新規契約件数を新規申込件数で除した数字を小数点第３位を切り捨て第２位まで記載する。</t>
  </si>
  <si>
    <t>％</t>
  </si>
  <si>
    <t>１　新規申込件数は、当該年度の申込件数（既存顧客からの申込件数を含み、貸付条件変更に係るものは除く。）
  を記載する。</t>
  </si>
  <si>
    <t>親会社</t>
  </si>
  <si>
    <t>他の会社</t>
  </si>
  <si>
    <t>（親会社の関係会社）</t>
  </si>
  <si>
    <t>（子会社）</t>
  </si>
  <si>
    <t>（関連会社）</t>
  </si>
  <si>
    <t>関連会社</t>
  </si>
  <si>
    <t>子会社</t>
  </si>
  <si>
    <t>提出業者</t>
  </si>
  <si>
    <t>（合算）</t>
  </si>
  <si>
    <t>（提出業者の
関係会社）</t>
  </si>
  <si>
    <t>（⇒「財務諸表等の用語、様式及び作成方法に関する規則」（昭和38年大蔵省令第59号）第８条を参照）</t>
  </si>
  <si>
    <t>「目次」へ戻る</t>
  </si>
  <si>
    <t>「表１」へ戻る</t>
  </si>
  <si>
    <t xml:space="preserve">　　　　　　　　　　　　　＜子会社＞
 ○ 議決権の過半数を保有
 ○ 議決権の40％以上50％以下を保有する場合
　　であって、
　・ 密接な関係（出資、人事、資金等）があり、他の
　　同一の内容の議決権行使を行う者と併せて
　　議決権の過半数を保有
　・ 役員等が当該会社の取締役会等の過半数を
　　構成
　・ 重要な事業方針決定を支配する契約等が存在
　・ 資金調達の総額の過半を融資
　　等
</t>
  </si>
  <si>
    <t xml:space="preserve">                        ＜関連会社＞
 ○ 議決権の20％以上を保有
 ○ 議決権の15％以上20％未満を保有している
　　場合であって、
　・ 役員等が当該会社の意取締役に就任
　・ 重要な融資を行っている
　・ 事業方針決定に重要な影響を与えることが
　　推測される事実が存在　等
 ○ 密接な関係（出資、人事、資金等）があり、
　　他の同一の内容の議決権行使を行う者と併せ
　　て議決権の20％以上を保有
 ○ 複数の独立した企業により契約等に基づいて
　　共同で支配</t>
  </si>
  <si>
    <t>エラー表示</t>
  </si>
  <si>
    <t>入力漏れ</t>
  </si>
  <si>
    <t>合計値整合性</t>
  </si>
  <si>
    <t>表１との整合性</t>
  </si>
  <si>
    <t>有有無</t>
  </si>
  <si>
    <t>有無無</t>
  </si>
  <si>
    <t>有無有</t>
  </si>
  <si>
    <t>無有有</t>
  </si>
  <si>
    <t>無有無</t>
  </si>
  <si>
    <t>無無有</t>
  </si>
  <si>
    <t>有無</t>
  </si>
  <si>
    <t>無有</t>
  </si>
  <si>
    <t>合不</t>
  </si>
  <si>
    <t>不合</t>
  </si>
  <si>
    <t>不不</t>
  </si>
  <si>
    <t>高額</t>
  </si>
  <si>
    <t>違法</t>
  </si>
  <si>
    <t>金利が未記入。</t>
  </si>
  <si>
    <t>残高が未記入。</t>
  </si>
  <si>
    <t>残高、金利が未記入。</t>
  </si>
  <si>
    <t>件数が未記入。</t>
  </si>
  <si>
    <t>件数、金利が未記入。</t>
  </si>
  <si>
    <t>残高が内訳の合計値より過少（又は過大）。</t>
  </si>
  <si>
    <t xml:space="preserve"> </t>
  </si>
  <si>
    <t xml:space="preserve"> </t>
  </si>
  <si>
    <t>誤消</t>
  </si>
  <si>
    <t>誤計</t>
  </si>
  <si>
    <t>大大</t>
  </si>
  <si>
    <t>大正</t>
  </si>
  <si>
    <t>正大</t>
  </si>
  <si>
    <t>件数、残高が内訳の合計値と合いません。</t>
  </si>
  <si>
    <t>金利の入力誤り。</t>
  </si>
  <si>
    <t>表１の消費者（無担保）残高と不一致。</t>
  </si>
  <si>
    <t>件数が内訳の合計値と不一致。</t>
  </si>
  <si>
    <t>表１の残高合計と不一致。</t>
  </si>
  <si>
    <t>誤誤計</t>
  </si>
  <si>
    <t>誤誤消</t>
  </si>
  <si>
    <t>誤誤事</t>
  </si>
  <si>
    <t>誤正計</t>
  </si>
  <si>
    <t>正誤計</t>
  </si>
  <si>
    <t>誤正消</t>
  </si>
  <si>
    <t>正誤消</t>
  </si>
  <si>
    <t>誤正事</t>
  </si>
  <si>
    <t>正誤事</t>
  </si>
  <si>
    <t>表１の件数合計、残高合計と不一致。</t>
  </si>
  <si>
    <t>表１の件数合計と不一致。</t>
  </si>
  <si>
    <t>表１の消費者（無担保）件数、残高と不一致。</t>
  </si>
  <si>
    <t>表１の消費者（無担保）件数と不一致。</t>
  </si>
  <si>
    <t>表１の事業者者（無担保）件数、残高と不一致。</t>
  </si>
  <si>
    <t>表１の事業者者（無担保）件数と不一致。</t>
  </si>
  <si>
    <t>表１の事業者者（無担保）残高と不一致。</t>
  </si>
  <si>
    <t>表１の消費者（無担保）残高計と不一致。</t>
  </si>
  <si>
    <t>表１の件数合計、残高合計の数値を超えています。</t>
  </si>
  <si>
    <t>表１の件数合計の数値を超えています。</t>
  </si>
  <si>
    <t>表１の残高合計の数値を超えています。</t>
  </si>
  <si>
    <t>1件当たり単価</t>
  </si>
  <si>
    <t>金利（109.5%超）</t>
  </si>
  <si>
    <t>チェック</t>
  </si>
  <si>
    <t>件数、残高が未記入。</t>
  </si>
  <si>
    <t>１件当たり残高金額が過大です。</t>
  </si>
  <si>
    <t>期間</t>
  </si>
  <si>
    <t>期間の入力誤り。</t>
  </si>
  <si>
    <t>有無期</t>
  </si>
  <si>
    <t>無有期</t>
  </si>
  <si>
    <t>期間が未記入。</t>
  </si>
  <si>
    <t xml:space="preserve"> </t>
  </si>
  <si>
    <t>（ｴﾗｰ表示互換表）</t>
  </si>
  <si>
    <t>高っ！</t>
  </si>
  <si>
    <t>金利の記入に間違いはありませんか？</t>
  </si>
  <si>
    <t>期間の入力に間違いはありませんか？</t>
  </si>
  <si>
    <t>←エラー表示</t>
  </si>
  <si>
    <t>入力漏れ～金利までのエラー数⇒</t>
  </si>
  <si>
    <t>全エラー数⇒</t>
  </si>
  <si>
    <t>千円</t>
  </si>
  <si>
    <t>単価上限</t>
  </si>
  <si>
    <t>額無</t>
  </si>
  <si>
    <t>数無</t>
  </si>
  <si>
    <t>貸付総額が未記入。</t>
  </si>
  <si>
    <t>貸付件数が未記入。</t>
  </si>
  <si>
    <t>　</t>
  </si>
  <si>
    <t xml:space="preserve">  件</t>
  </si>
  <si>
    <t xml:space="preserve"> </t>
  </si>
  <si>
    <t xml:space="preserve"> </t>
  </si>
  <si>
    <t xml:space="preserve"> </t>
  </si>
  <si>
    <t>件数</t>
  </si>
  <si>
    <t>残高</t>
  </si>
  <si>
    <t>非表示</t>
  </si>
  <si>
    <t>(10)</t>
  </si>
  <si>
    <t>(11)</t>
  </si>
  <si>
    <t>(12)</t>
  </si>
  <si>
    <t>(13)</t>
  </si>
  <si>
    <t>(14)</t>
  </si>
  <si>
    <t>(15)</t>
  </si>
  <si>
    <t>(N10)</t>
  </si>
  <si>
    <t>(N11)</t>
  </si>
  <si>
    <t>(N12)</t>
  </si>
  <si>
    <t>(N13)</t>
  </si>
  <si>
    <t>(N14)</t>
  </si>
  <si>
    <t>(N15)</t>
  </si>
  <si>
    <t>(      )</t>
  </si>
  <si>
    <t>から</t>
  </si>
  <si>
    <t>までの業務の状況を次のとおり報告いたします。</t>
  </si>
  <si>
    <t>金利</t>
  </si>
  <si>
    <t xml:space="preserve"> 氏名、商号
 又は名称</t>
  </si>
  <si>
    <t>４　各表の残高の単位（百万円、千円）未満の端数は、特に注記がない限り切り捨てて記載する。
　このため、各表の残高内訳の合計は「合計」（又は「計」）欄の残高と合致しない場合がある。</t>
  </si>
  <si>
    <t>６　各表中、貸付残高等の実績がない場合は「-」、単位未満の場合は「0」と記載する。</t>
  </si>
  <si>
    <t>　「個人」欄の残高は、「表１」の消費者向計の残高と一致する。</t>
  </si>
  <si>
    <t>　「特定非営利活動法人」とは、特定非営利活動促進法（平成10年法律第7号）第10条の規定に基づき設立さ
れた特定非営利活動法人をいう。　</t>
  </si>
  <si>
    <t>特定非営利活動法人</t>
  </si>
  <si>
    <t>　「合計」欄の件数及び残高は、「表１」の消費者向無担保貸付金の件数及び残高と一致する。</t>
  </si>
  <si>
    <t>　新規貸付件数は、当該年度に行った新規顧客に対する初回貸付の件数を記載する。</t>
  </si>
  <si>
    <t>　「(2-1)　新規貸付状況」を記載した場合には、本表(2-2)の記載は不要とする。</t>
  </si>
  <si>
    <t xml:space="preserve"> 所属</t>
  </si>
  <si>
    <t xml:space="preserve"> 氏名</t>
  </si>
  <si>
    <t xml:space="preserve"> 電話番号</t>
  </si>
  <si>
    <t>新規申込件数の数値を超えています。</t>
  </si>
  <si>
    <t>12表内における整合性</t>
  </si>
  <si>
    <t>申無</t>
  </si>
  <si>
    <t>新規契約件数の数値を超えています。</t>
  </si>
  <si>
    <t>正契大</t>
  </si>
  <si>
    <t>新規申込件数が未記入。</t>
  </si>
  <si>
    <t>表１との整合性</t>
  </si>
  <si>
    <t>←１～13及び14両方の欄に○印が記載されています！</t>
  </si>
  <si>
    <t>←いずれかの欄に○印をご記載下さい！</t>
  </si>
  <si>
    <t>１　本報告書は、法の規制を受ける貸付けについて、直近の3月31日時点の計数等を記載する。</t>
  </si>
  <si>
    <t>　業種別貸付残高は貸付先の主な事業（過去１年間における総売上高のうち割合の最も高いもの）により分類
する。</t>
  </si>
  <si>
    <t>表１の「関係会社向」けの範囲</t>
  </si>
  <si>
    <t>　「関係会社」とは、提出業者の親会社、子会社及び関連会社並びに提出業者が他の会社等の関連会社
である場合における当該他の会社等をいう。
　表１の「関係会社向」の範囲は、業務報告書提出業者の関係会社及び同提出業者の親会社の関係会社
に対する貸付けとする。（法の規制を受ける貸付けに限る。）</t>
  </si>
  <si>
    <t>新規契約件数の数値を下回っています。</t>
  </si>
  <si>
    <t>正貸大</t>
  </si>
  <si>
    <t>正当小</t>
  </si>
  <si>
    <t>　　　　　　　　　　　　　　　先数・残高
業　種　別</t>
  </si>
  <si>
    <t>表示</t>
  </si>
  <si>
    <t>表示</t>
  </si>
  <si>
    <t>年（</t>
  </si>
  <si>
    <t>月）</t>
  </si>
  <si>
    <t>連絡者</t>
  </si>
  <si>
    <t xml:space="preserve">(  　　　 ) 　　　  -   </t>
  </si>
  <si>
    <t>兵庫県神戸県民局長</t>
  </si>
  <si>
    <t>兵庫県阪神南県民局長</t>
  </si>
  <si>
    <t>兵庫県阪神北県民局長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</si>
  <si>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</si>
  <si>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</si>
  <si>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</si>
  <si>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</si>
  <si>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</si>
  <si>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</si>
  <si>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</si>
  <si>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 xml:space="preserve">(  　   )        -  </t>
  </si>
  <si>
    <t>第</t>
  </si>
  <si>
    <t>号</t>
  </si>
  <si>
    <t>-</t>
  </si>
  <si>
    <t>(1)</t>
  </si>
  <si>
    <t>(2)</t>
  </si>
  <si>
    <t>(3)</t>
  </si>
  <si>
    <t>(4)</t>
  </si>
  <si>
    <t>(5)</t>
  </si>
  <si>
    <t>(6)</t>
  </si>
  <si>
    <t>(7)</t>
  </si>
  <si>
    <t>(8)</t>
  </si>
  <si>
    <t>(9)</t>
  </si>
  <si>
    <t>(N1)</t>
  </si>
  <si>
    <t>(N2)</t>
  </si>
  <si>
    <t>(N3)</t>
  </si>
  <si>
    <t>(N4)</t>
  </si>
  <si>
    <t>(N5)</t>
  </si>
  <si>
    <t>(N6)</t>
  </si>
  <si>
    <t>(N7)</t>
  </si>
  <si>
    <t>(N8)</t>
  </si>
  <si>
    <t>(N9)</t>
  </si>
  <si>
    <t>-</t>
  </si>
  <si>
    <t>(      )</t>
  </si>
  <si>
    <t>-</t>
  </si>
  <si>
    <t>千円</t>
  </si>
  <si>
    <t>　２　一般社団法人等とは、一般社団法人、一般財団法人、公益社団法人、公益財団法人等をいう。</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</si>
  <si>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</si>
  <si>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</si>
  <si>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</si>
  <si>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</si>
  <si>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</si>
  <si>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</si>
  <si>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</si>
  <si>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</si>
  <si>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</si>
  <si>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</si>
  <si>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</si>
  <si>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</si>
  <si>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</si>
  <si>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</si>
  <si>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</si>
  <si>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</si>
  <si>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</si>
  <si>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</si>
  <si>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</si>
  <si>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</si>
  <si>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</si>
  <si>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</si>
  <si>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</si>
  <si>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</si>
  <si>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</si>
  <si>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</si>
  <si>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兵庫県神戸県民センター長</t>
  </si>
  <si>
    <t>兵庫県阪神南県民センター長</t>
  </si>
  <si>
    <t>兵庫県中播磨県民センター長</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</si>
  <si>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</si>
  <si>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</si>
  <si>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</si>
  <si>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</si>
  <si>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</si>
  <si>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</si>
  <si>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</si>
  <si>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</si>
  <si>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</si>
  <si>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</si>
  <si>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</si>
  <si>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</si>
  <si>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</si>
  <si>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</si>
  <si>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</si>
  <si>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</si>
  <si>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</si>
  <si>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</si>
  <si>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</si>
  <si>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</si>
  <si>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</si>
  <si>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</si>
  <si>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</si>
  <si>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</si>
  <si>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</si>
  <si>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</si>
  <si>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</si>
  <si>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年　月　日から</t>
  </si>
  <si>
    <t>年　月　日まで</t>
  </si>
  <si>
    <t>（日本産業規格Ａ４）</t>
  </si>
  <si>
    <t>　２　指定信用情報機関に加盟している</t>
  </si>
  <si>
    <t>（参考）その他加入している団体があればその名称を記載すること</t>
  </si>
  <si>
    <t>（注）「登録番号」の括弧書については、記載を省略することができる。</t>
  </si>
  <si>
    <t>13　貸金業協会等への加入状況等</t>
  </si>
  <si>
    <t>　３　電話加入権に質権を設定することを目的とした事業協同組合に加盟している</t>
  </si>
  <si>
    <t>　４　一般社団法人日本クレジット協会に加盟している</t>
  </si>
  <si>
    <t>　５　日本クレジットカード協会に加盟している</t>
  </si>
  <si>
    <t>　６　包括信用購入あっせん業者又は個別信用購入あっせん業者として登録を受けている</t>
  </si>
  <si>
    <t>　７　電気機械器具関係の一般社団法人等に加盟している
　　（関係会社が加盟している場合を含む）</t>
  </si>
  <si>
    <t>　８　自動車関係の一般社団法人等に加盟している
　　（関係会社が加盟している場合を含む）</t>
  </si>
  <si>
    <t>　９　日本百貨店協会、日本チェーンストア協会、協同組合連合会日本商店連盟、協同組合連合会日本専門店会連盟に加盟している（関係会社が加盟している場合を含む）</t>
  </si>
  <si>
    <t>　10　建設・不動産関係の一般社団法人等に加盟している
　　　（関係会社が同法人に加盟している場合を含む）</t>
  </si>
  <si>
    <t>　11　質屋の許可を受けている</t>
  </si>
  <si>
    <t>　12　公益社団法人リース事業協会に加盟している</t>
  </si>
  <si>
    <t>　13　日賦貸金業者として登録されている</t>
  </si>
  <si>
    <t>　14　上記のいずれにも該当しない</t>
  </si>
  <si>
    <t>　１　1～14の該当する項目の左の欄に○を記載し、参考についてはその名称を記載すること。</t>
  </si>
  <si>
    <t>年4月1日</t>
  </si>
  <si>
    <t>年3月31日</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</si>
</sst>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quot;件&quot;&quot;&quot;"/>
    <numFmt numFmtId="178" formatCode="#,##0_);[Red]\(#,##0\)\ &quot;件&quot;"/>
    <numFmt numFmtId="179" formatCode="#,##0;&quot;▲ &quot;#,##0"/>
    <numFmt numFmtId="180" formatCode="0.000_ "/>
    <numFmt numFmtId="181" formatCode="0.00_ "/>
    <numFmt numFmtId="182" formatCode="0_ "/>
    <numFmt numFmtId="183" formatCode="yyyy&quot;年&quot;m&quot;月&quot;d&quot;日&quot;;@"/>
    <numFmt numFmtId="184" formatCode="[$-411]ggge&quot;年&quot;m&quot;月&quot;d&quot;日&quot;;@"/>
    <numFmt numFmtId="185" formatCode="mmm\-yyyy"/>
    <numFmt numFmtId="186" formatCode="#,##0_ "/>
    <numFmt numFmtId="187" formatCode="#,##0_ &quot;百万円&quot;"/>
    <numFmt numFmtId="188" formatCode="#,##0_ &quot;年&quot;"/>
    <numFmt numFmtId="189" formatCode="#,##0.00_ "/>
    <numFmt numFmtId="190" formatCode="#,##0.00_ &quot;年&quot;"/>
    <numFmt numFmtId="191" formatCode="0.000%"/>
    <numFmt numFmtId="192" formatCode="#,##0.00_ &quot;百万円&quot;"/>
    <numFmt numFmtId="193" formatCode="\(00\)"/>
    <numFmt numFmtId="194" formatCode="0.0000_ "/>
    <numFmt numFmtId="195" formatCode="&quot;Yes&quot;;&quot;Yes&quot;;&quot;No&quot;"/>
    <numFmt numFmtId="196" formatCode="&quot;True&quot;;&quot;True&quot;;&quot;False&quot;"/>
    <numFmt numFmtId="197" formatCode="&quot;On&quot;;&quot;On&quot;;&quot;Off&quot;"/>
    <numFmt numFmtId="198" formatCode="[$€-2]\ #,##0.00_);[Red]\([$€-2]\ #,##0.00\)"/>
    <numFmt numFmtId="199" formatCode="#,##0.00;&quot;▲ &quot;#,##0.00"/>
    <numFmt numFmtId="200" formatCode="[$-411]ggge"/>
    <numFmt numFmtId="201" formatCode="[$-411]e"/>
    <numFmt numFmtId="202" formatCode="#,##0.0_);[Red]\(#,##0.0\)"/>
    <numFmt numFmtId="203" formatCode="#,##0.00_);[Red]\(#,##0.00\)"/>
    <numFmt numFmtId="204" formatCode="&quot;第&quot;#####&quot;号&quot;"/>
    <numFmt numFmtId="205" formatCode="&quot;平成&quot;yy&quot;年&quot;m&quot;月&quot;d&quot;日から&quot;"/>
    <numFmt numFmtId="206" formatCode="&quot;平成&quot;yy&quot;年&quot;m&quot;月&quot;d&quot;日まで&quot;"/>
    <numFmt numFmtId="207" formatCode="&quot;平成&quot;yy&quot;年&quot;m&quot;月&quot;d&quot;日&quot;"/>
    <numFmt numFmtId="208" formatCode="&quot;平成&quot;yy&quot;年3月31日&quot;"/>
    <numFmt numFmtId="209" formatCode="&quot;平成&quot;##&quot;年3月31日&quot;"/>
    <numFmt numFmtId="210" formatCode="#,##0.000_ "/>
    <numFmt numFmtId="211" formatCode="&quot;平成&quot;##&quot;年4月1日&quot;"/>
    <numFmt numFmtId="212" formatCode="#,##0.0_ "/>
    <numFmt numFmtId="213" formatCode="[$]ggge&quot;年&quot;m&quot;月&quot;d&quot;日&quot;;@"/>
    <numFmt numFmtId="214" formatCode="[$-411]gge&quot;年&quot;m&quot;月&quot;d&quot;日&quot;;@"/>
    <numFmt numFmtId="215" formatCode="[$]gge&quot;年&quot;m&quot;月&quot;d&quot;日&quot;;@"/>
  </numFmts>
  <fonts count="91">
    <font>
      <sz val="11"/>
      <name val="ＭＳ Ｐゴシック"/>
      <family val="3"/>
    </font>
    <font>
      <sz val="10"/>
      <name val="ＭＳ Ｐ明朝"/>
      <family val="1"/>
    </font>
    <font>
      <sz val="6"/>
      <name val="ＭＳ Ｐゴシック"/>
      <family val="3"/>
    </font>
    <font>
      <sz val="6"/>
      <name val="ＭＳ 明朝"/>
      <family val="1"/>
    </font>
    <font>
      <sz val="12"/>
      <name val="ＭＳ Ｐ明朝"/>
      <family val="1"/>
    </font>
    <font>
      <sz val="9"/>
      <name val="ＭＳ Ｐ明朝"/>
      <family val="1"/>
    </font>
    <font>
      <u val="single"/>
      <sz val="10"/>
      <name val="ＭＳ Ｐ明朝"/>
      <family val="1"/>
    </font>
    <font>
      <u val="single"/>
      <sz val="9"/>
      <name val="ＭＳ Ｐ明朝"/>
      <family val="1"/>
    </font>
    <font>
      <sz val="9"/>
      <color indexed="10"/>
      <name val="ＭＳ Ｐ明朝"/>
      <family val="1"/>
    </font>
    <font>
      <sz val="8"/>
      <name val="ＭＳ Ｐ明朝"/>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4"/>
      <name val="ＭＳ Ｐ明朝"/>
      <family val="1"/>
    </font>
    <font>
      <strike/>
      <sz val="10"/>
      <name val="ＭＳ Ｐ明朝"/>
      <family val="1"/>
    </font>
    <font>
      <sz val="9"/>
      <name val="ＭＳ 明朝"/>
      <family val="1"/>
    </font>
    <font>
      <sz val="9"/>
      <color indexed="8"/>
      <name val="ＭＳ Ｐゴシック"/>
      <family val="3"/>
    </font>
    <font>
      <sz val="14"/>
      <color indexed="8"/>
      <name val="ＭＳ Ｐゴシック"/>
      <family val="3"/>
    </font>
    <font>
      <b/>
      <sz val="11"/>
      <name val="ＭＳ Ｐゴシック"/>
      <family val="3"/>
    </font>
    <font>
      <b/>
      <u val="single"/>
      <sz val="11"/>
      <color indexed="12"/>
      <name val="ＭＳ Ｐゴシック"/>
      <family val="3"/>
    </font>
    <font>
      <u val="single"/>
      <sz val="12"/>
      <color indexed="12"/>
      <name val="ＭＳ Ｐゴシック"/>
      <family val="3"/>
    </font>
    <font>
      <sz val="8"/>
      <name val="ＭＳ Ｐゴシック"/>
      <family val="3"/>
    </font>
    <font>
      <sz val="10"/>
      <name val="ＭＳ Ｐゴシック"/>
      <family val="3"/>
    </font>
    <font>
      <b/>
      <sz val="10"/>
      <name val="ＭＳ Ｐゴシック"/>
      <family val="3"/>
    </font>
    <font>
      <i/>
      <sz val="10"/>
      <name val="ＭＳ Ｐゴシック"/>
      <family val="3"/>
    </font>
    <font>
      <sz val="10"/>
      <name val="ＭＳ 明朝"/>
      <family val="1"/>
    </font>
    <font>
      <strike/>
      <sz val="9"/>
      <color indexed="10"/>
      <name val="ＭＳ Ｐ明朝"/>
      <family val="1"/>
    </font>
    <font>
      <b/>
      <sz val="9"/>
      <color indexed="10"/>
      <name val="ＭＳ Ｐ明朝"/>
      <family val="1"/>
    </font>
    <font>
      <b/>
      <sz val="10"/>
      <color indexed="10"/>
      <name val="ＭＳ Ｐゴシック"/>
      <family val="3"/>
    </font>
    <font>
      <b/>
      <sz val="14"/>
      <color indexed="10"/>
      <name val="ＭＳ Ｐゴシック"/>
      <family val="3"/>
    </font>
    <font>
      <b/>
      <sz val="14"/>
      <color indexed="10"/>
      <name val="ＭＳ Ｐ明朝"/>
      <family val="1"/>
    </font>
    <font>
      <b/>
      <sz val="9"/>
      <color indexed="10"/>
      <name val="ＭＳ Ｐゴシック"/>
      <family val="3"/>
    </font>
    <font>
      <b/>
      <sz val="11"/>
      <color indexed="10"/>
      <name val="ＭＳ Ｐ明朝"/>
      <family val="1"/>
    </font>
    <font>
      <b/>
      <sz val="12"/>
      <color indexed="10"/>
      <name val="ＭＳ Ｐゴシック"/>
      <family val="3"/>
    </font>
    <font>
      <b/>
      <sz val="20"/>
      <color indexed="10"/>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明朝"/>
      <family val="1"/>
    </font>
    <font>
      <sz val="9"/>
      <name val="Meiryo UI"/>
      <family val="3"/>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b/>
      <u val="single"/>
      <sz val="10"/>
      <color indexed="8"/>
      <name val="ＭＳ Ｐゴシック"/>
      <family val="3"/>
    </font>
    <font>
      <sz val="10"/>
      <color indexed="8"/>
      <name val="Calibri"/>
      <family val="2"/>
    </font>
    <font>
      <b/>
      <sz val="10"/>
      <color indexed="8"/>
      <name val="ＭＳ ゴシック"/>
      <family val="3"/>
    </font>
    <font>
      <u val="single"/>
      <sz val="10"/>
      <color indexed="8"/>
      <name val="ＭＳ Ｐゴシック"/>
      <family val="3"/>
    </font>
    <font>
      <u val="single"/>
      <sz val="10"/>
      <color indexed="8"/>
      <name val="Calibri"/>
      <family val="2"/>
    </font>
    <font>
      <sz val="11"/>
      <color indexed="8"/>
      <name val="Calibri"/>
      <family val="2"/>
    </font>
    <font>
      <sz val="10.5"/>
      <color indexed="8"/>
      <name val="ＭＳ ゴシック"/>
      <family val="3"/>
    </font>
    <font>
      <b/>
      <sz val="11"/>
      <color indexed="8"/>
      <name val="Calibri"/>
      <family val="2"/>
    </font>
    <font>
      <b/>
      <u val="single"/>
      <sz val="10"/>
      <color indexed="8"/>
      <name val="ＭＳ ゴシック"/>
      <family val="3"/>
    </font>
    <font>
      <b/>
      <sz val="11"/>
      <color indexed="10"/>
      <name val="Calibri"/>
      <family val="2"/>
    </font>
    <font>
      <u val="single"/>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ＭＳ Ｐ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theme="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style="thin"/>
      <top style="hair"/>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top/>
      <bottom style="dotted"/>
    </border>
    <border>
      <left/>
      <right/>
      <top/>
      <bottom style="dotted"/>
    </border>
    <border>
      <left/>
      <right style="mediumDashDotDot"/>
      <top/>
      <bottom style="dotted"/>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mediumDashDotDot"/>
      <right/>
      <top style="mediumDashDotDot"/>
      <bottom/>
    </border>
    <border>
      <left/>
      <right style="thin"/>
      <top style="mediumDashDotDot"/>
      <bottom/>
    </border>
    <border>
      <left>
        <color indexed="63"/>
      </left>
      <right style="dotted"/>
      <top style="mediumDashDotDot"/>
      <bottom>
        <color indexed="63"/>
      </bottom>
    </border>
    <border>
      <left style="mediumDashDotDot"/>
      <right/>
      <top/>
      <bottom style="thin"/>
    </border>
    <border>
      <left>
        <color indexed="63"/>
      </left>
      <right style="dotted"/>
      <top>
        <color indexed="63"/>
      </top>
      <bottom style="thin"/>
    </border>
    <border>
      <left>
        <color indexed="63"/>
      </left>
      <right style="dotted"/>
      <top style="thin"/>
      <bottom>
        <color indexed="63"/>
      </bottom>
    </border>
    <border>
      <left style="mediumDashDotDot"/>
      <right/>
      <top/>
      <bottom style="dotted"/>
    </border>
    <border>
      <left>
        <color indexed="63"/>
      </left>
      <right style="thin"/>
      <top>
        <color indexed="63"/>
      </top>
      <bottom style="dotted"/>
    </border>
    <border>
      <left style="thin"/>
      <right>
        <color indexed="63"/>
      </right>
      <top style="thin"/>
      <bottom style="dotted"/>
    </border>
    <border>
      <left>
        <color indexed="63"/>
      </left>
      <right style="dotted"/>
      <top>
        <color indexed="63"/>
      </top>
      <bottom style="dotted"/>
    </border>
    <border>
      <left style="thin"/>
      <right style="hair"/>
      <top style="thin"/>
      <bottom style="thin"/>
    </border>
    <border>
      <left style="hair"/>
      <right style="thin"/>
      <top style="thin"/>
      <bottom style="thin"/>
    </border>
    <border>
      <left style="medium"/>
      <right style="medium"/>
      <top style="medium"/>
      <bottom style="medium"/>
    </border>
    <border>
      <left style="medium"/>
      <right style="medium"/>
      <top style="medium"/>
      <bottom style="thin"/>
    </border>
    <border diagonalUp="1">
      <left style="medium"/>
      <right style="medium"/>
      <top style="medium"/>
      <bottom style="thin"/>
      <diagonal style="thin"/>
    </border>
    <border diagonalUp="1">
      <left>
        <color indexed="63"/>
      </left>
      <right>
        <color indexed="63"/>
      </right>
      <top>
        <color indexed="63"/>
      </top>
      <bottom style="thin"/>
      <diagonal style="thin"/>
    </border>
    <border>
      <left style="medium"/>
      <right style="medium"/>
      <top style="thin"/>
      <bottom style="thin"/>
    </border>
    <border diagonalUp="1">
      <left>
        <color indexed="63"/>
      </left>
      <right style="thin"/>
      <top>
        <color indexed="63"/>
      </top>
      <bottom style="thin"/>
      <diagonal style="thin"/>
    </border>
    <border diagonalUp="1">
      <left style="medium"/>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diagonalUp="1">
      <left style="medium"/>
      <right style="medium"/>
      <top style="thin"/>
      <bottom style="medium"/>
      <diagonal style="thin"/>
    </border>
    <border>
      <left style="medium"/>
      <right style="medium"/>
      <top>
        <color indexed="63"/>
      </top>
      <bottom style="medium"/>
    </border>
    <border diagonalUp="1">
      <left style="medium"/>
      <right style="thin"/>
      <top style="thin"/>
      <bottom style="thin"/>
      <diagonal style="thin"/>
    </border>
    <border>
      <left style="medium"/>
      <right style="medium"/>
      <top style="thin"/>
      <bottom>
        <color indexed="63"/>
      </bottom>
    </border>
    <border>
      <left style="medium"/>
      <right style="thin"/>
      <top style="thin"/>
      <bottom style="thin"/>
    </border>
    <border>
      <left style="thin"/>
      <right style="double"/>
      <top>
        <color indexed="63"/>
      </top>
      <bottom>
        <color indexed="63"/>
      </bottom>
    </border>
    <border diagonalUp="1">
      <left style="medium"/>
      <right style="medium"/>
      <top style="medium"/>
      <bottom style="medium"/>
      <diagonal style="thin"/>
    </border>
    <border>
      <left style="thin"/>
      <right style="thin"/>
      <top style="thin"/>
      <bottom style="thin"/>
    </border>
    <border>
      <left style="thin"/>
      <right style="thin"/>
      <top style="thin"/>
      <bottom>
        <color indexed="63"/>
      </bottom>
    </border>
    <border>
      <left style="hair"/>
      <right>
        <color indexed="63"/>
      </right>
      <top style="hair"/>
      <bottom style="hair"/>
    </border>
    <border>
      <left>
        <color indexed="63"/>
      </left>
      <right style="thin"/>
      <top style="thin"/>
      <bottom style="hair"/>
    </border>
    <border>
      <left style="double"/>
      <right style="double"/>
      <top style="double"/>
      <bottom style="double"/>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thin"/>
      <top>
        <color indexed="63"/>
      </top>
      <bottom>
        <color indexed="63"/>
      </bottom>
    </border>
    <border>
      <left style="medium"/>
      <right style="thin"/>
      <top>
        <color indexed="63"/>
      </top>
      <bottom style="thin"/>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Up="1">
      <left style="medium"/>
      <right style="thin"/>
      <top style="medium"/>
      <bottom style="medium"/>
      <diagonal style="thin"/>
    </border>
    <border diagonalUp="1">
      <left style="medium"/>
      <right style="thin"/>
      <top style="medium"/>
      <bottom style="hair"/>
      <diagonal style="thin"/>
    </border>
    <border diagonalUp="1">
      <left style="medium"/>
      <right style="thin"/>
      <top style="hair"/>
      <bottom style="hair"/>
      <diagonal style="thin"/>
    </border>
    <border diagonalUp="1">
      <left style="medium"/>
      <right style="medium"/>
      <top style="medium"/>
      <bottom style="hair"/>
      <diagonal style="thin"/>
    </border>
    <border diagonalUp="1">
      <left style="medium"/>
      <right style="medium"/>
      <top style="hair"/>
      <bottom style="hair"/>
      <diagonal style="thin"/>
    </border>
    <border>
      <left>
        <color indexed="63"/>
      </left>
      <right style="medium"/>
      <top style="medium"/>
      <bottom style="medium"/>
    </border>
    <border>
      <left>
        <color indexed="63"/>
      </left>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color indexed="63"/>
      </left>
      <right style="thin"/>
      <top style="hair"/>
      <bottom>
        <color indexed="63"/>
      </bottom>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hair"/>
    </border>
    <border>
      <left>
        <color indexed="63"/>
      </left>
      <right style="hair"/>
      <top>
        <color indexed="63"/>
      </top>
      <bottom style="thin"/>
    </border>
    <border>
      <left>
        <color indexed="63"/>
      </left>
      <right style="hair"/>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thin"/>
      <right>
        <color indexed="63"/>
      </right>
      <top style="medium"/>
      <bottom style="thin"/>
    </border>
    <border>
      <left>
        <color indexed="63"/>
      </left>
      <right>
        <color indexed="63"/>
      </right>
      <top style="medium"/>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thin"/>
      <top style="hair"/>
      <bottom style="hair"/>
    </border>
    <border>
      <left style="hair"/>
      <right>
        <color indexed="63"/>
      </right>
      <top>
        <color indexed="63"/>
      </top>
      <bottom>
        <color indexed="63"/>
      </botto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style="hair"/>
      <bottom style="thin"/>
    </border>
    <border>
      <left>
        <color indexed="63"/>
      </left>
      <right style="medium"/>
      <top style="hair"/>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left style="medium"/>
      <right>
        <color indexed="63"/>
      </right>
      <top style="hair"/>
      <bottom>
        <color indexed="63"/>
      </bottom>
    </border>
    <border>
      <left>
        <color indexed="63"/>
      </left>
      <right style="medium"/>
      <top style="hair"/>
      <bottom>
        <color indexed="63"/>
      </bottom>
    </border>
    <border>
      <left>
        <color indexed="63"/>
      </left>
      <right style="hair"/>
      <top style="thin"/>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hair"/>
    </border>
    <border>
      <left>
        <color indexed="63"/>
      </left>
      <right style="medium"/>
      <top style="thin"/>
      <bottom style="hair"/>
    </border>
    <border>
      <left style="thin"/>
      <right style="hair"/>
      <top style="thin"/>
      <bottom>
        <color indexed="63"/>
      </bottom>
    </border>
    <border>
      <left style="hair"/>
      <right>
        <color indexed="63"/>
      </right>
      <top style="thin"/>
      <bottom style="hair"/>
    </border>
    <border>
      <left style="hair"/>
      <right>
        <color indexed="63"/>
      </right>
      <top>
        <color indexed="63"/>
      </top>
      <bottom style="thin"/>
    </border>
    <border>
      <left>
        <color indexed="63"/>
      </left>
      <right style="hair"/>
      <top style="hair"/>
      <bottom style="thin"/>
    </border>
    <border>
      <left style="hair"/>
      <right>
        <color indexed="63"/>
      </right>
      <top style="medium"/>
      <bottom style="thin"/>
    </border>
    <border>
      <left style="hair"/>
      <right>
        <color indexed="63"/>
      </right>
      <top style="thin"/>
      <bottom style="thin"/>
    </border>
    <border>
      <left style="hair"/>
      <right>
        <color indexed="63"/>
      </right>
      <top style="medium"/>
      <bottom style="medium"/>
    </border>
    <border>
      <left>
        <color indexed="63"/>
      </left>
      <right style="thin"/>
      <top style="medium"/>
      <bottom style="medium"/>
    </border>
    <border>
      <left style="thin"/>
      <right style="hair"/>
      <top>
        <color indexed="63"/>
      </top>
      <bottom>
        <color indexed="63"/>
      </bottom>
    </border>
    <border>
      <left style="thin"/>
      <right style="hair"/>
      <top>
        <color indexed="63"/>
      </top>
      <bottom style="thin"/>
    </border>
    <border>
      <left style="thin"/>
      <right>
        <color indexed="63"/>
      </right>
      <top style="thin"/>
      <bottom style="medium"/>
    </border>
    <border>
      <left>
        <color indexed="63"/>
      </left>
      <right style="thin"/>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diagonalDown="1">
      <left>
        <color indexed="63"/>
      </left>
      <right style="thin"/>
      <top style="thin"/>
      <bottom>
        <color indexed="63"/>
      </bottom>
      <diagonal style="hair"/>
    </border>
    <border diagonalDown="1">
      <left>
        <color indexed="63"/>
      </left>
      <right style="thin"/>
      <top>
        <color indexed="63"/>
      </top>
      <bottom style="thin"/>
      <diagonal style="hair"/>
    </border>
    <border>
      <left style="medium"/>
      <right>
        <color indexed="63"/>
      </right>
      <top style="medium"/>
      <bottom style="medium"/>
    </border>
    <border>
      <left>
        <color indexed="63"/>
      </left>
      <right style="hair"/>
      <top style="thin"/>
      <bottom style="medium"/>
    </border>
    <border diagonalUp="1">
      <left>
        <color indexed="63"/>
      </left>
      <right>
        <color indexed="63"/>
      </right>
      <top style="thin"/>
      <bottom style="thin"/>
      <diagonal style="hair"/>
    </border>
    <border diagonalUp="1">
      <left>
        <color indexed="63"/>
      </left>
      <right style="thin"/>
      <top style="thin"/>
      <bottom style="thin"/>
      <diagonal style="hair"/>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1" applyNumberFormat="0" applyAlignment="0" applyProtection="0"/>
    <xf numFmtId="0" fontId="7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0" borderId="4" applyNumberFormat="0" applyAlignment="0" applyProtection="0"/>
    <xf numFmtId="0" fontId="12" fillId="0" borderId="0" applyNumberFormat="0" applyFill="0" applyBorder="0" applyAlignment="0" applyProtection="0"/>
    <xf numFmtId="0" fontId="88" fillId="31" borderId="0" applyNumberFormat="0" applyBorder="0" applyAlignment="0" applyProtection="0"/>
  </cellStyleXfs>
  <cellXfs count="729">
    <xf numFmtId="0" fontId="0" fillId="0" borderId="0" xfId="0" applyAlignment="1">
      <alignment vertical="center"/>
    </xf>
    <xf numFmtId="49" fontId="1" fillId="32" borderId="0" xfId="0" applyNumberFormat="1" applyFont="1" applyFill="1" applyAlignment="1" applyProtection="1">
      <alignment vertical="center"/>
      <protection/>
    </xf>
    <xf numFmtId="182" fontId="10" fillId="32" borderId="0" xfId="0" applyNumberFormat="1" applyFont="1" applyFill="1" applyAlignment="1" applyProtection="1">
      <alignment vertical="center"/>
      <protection/>
    </xf>
    <xf numFmtId="182" fontId="1" fillId="32" borderId="0" xfId="0" applyNumberFormat="1" applyFont="1" applyFill="1" applyAlignment="1" applyProtection="1">
      <alignment vertical="center"/>
      <protection/>
    </xf>
    <xf numFmtId="49" fontId="1" fillId="32" borderId="0" xfId="0" applyNumberFormat="1" applyFont="1" applyFill="1" applyBorder="1" applyAlignment="1" applyProtection="1">
      <alignment horizontal="right" vertical="center"/>
      <protection/>
    </xf>
    <xf numFmtId="49" fontId="1" fillId="32" borderId="0" xfId="0" applyNumberFormat="1" applyFont="1" applyFill="1" applyBorder="1" applyAlignment="1" applyProtection="1">
      <alignment vertical="top"/>
      <protection/>
    </xf>
    <xf numFmtId="49" fontId="4" fillId="32" borderId="0" xfId="0" applyNumberFormat="1" applyFont="1" applyFill="1" applyBorder="1" applyAlignment="1" applyProtection="1">
      <alignment vertical="center"/>
      <protection/>
    </xf>
    <xf numFmtId="49" fontId="6" fillId="32" borderId="0" xfId="0" applyNumberFormat="1" applyFont="1" applyFill="1" applyBorder="1" applyAlignment="1" applyProtection="1">
      <alignment vertical="center"/>
      <protection/>
    </xf>
    <xf numFmtId="49" fontId="7" fillId="32" borderId="0" xfId="0" applyNumberFormat="1" applyFont="1" applyFill="1" applyBorder="1" applyAlignment="1" applyProtection="1">
      <alignment vertical="center"/>
      <protection/>
    </xf>
    <xf numFmtId="49" fontId="5" fillId="32" borderId="0" xfId="0" applyNumberFormat="1" applyFont="1" applyFill="1" applyBorder="1" applyAlignment="1" applyProtection="1">
      <alignment vertical="top"/>
      <protection/>
    </xf>
    <xf numFmtId="49" fontId="27" fillId="32" borderId="0" xfId="0" applyNumberFormat="1" applyFont="1" applyFill="1" applyBorder="1" applyAlignment="1" applyProtection="1">
      <alignment vertical="center"/>
      <protection/>
    </xf>
    <xf numFmtId="49" fontId="8" fillId="32" borderId="0" xfId="0" applyNumberFormat="1" applyFont="1" applyFill="1" applyBorder="1" applyAlignment="1" applyProtection="1">
      <alignment vertical="center"/>
      <protection/>
    </xf>
    <xf numFmtId="49" fontId="1" fillId="32" borderId="0"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left" vertical="top"/>
      <protection/>
    </xf>
    <xf numFmtId="49" fontId="5" fillId="32" borderId="10" xfId="0" applyNumberFormat="1" applyFont="1" applyFill="1" applyBorder="1" applyAlignment="1" applyProtection="1">
      <alignment vertical="center"/>
      <protection/>
    </xf>
    <xf numFmtId="49" fontId="5" fillId="32" borderId="11" xfId="0" applyNumberFormat="1" applyFont="1" applyFill="1" applyBorder="1" applyAlignment="1" applyProtection="1">
      <alignment vertical="center"/>
      <protection/>
    </xf>
    <xf numFmtId="49" fontId="5" fillId="32" borderId="12" xfId="0" applyNumberFormat="1" applyFont="1" applyFill="1" applyBorder="1" applyAlignment="1" applyProtection="1">
      <alignment vertical="center"/>
      <protection/>
    </xf>
    <xf numFmtId="49" fontId="5" fillId="32" borderId="13" xfId="0" applyNumberFormat="1" applyFont="1" applyFill="1" applyBorder="1" applyAlignment="1" applyProtection="1">
      <alignment vertical="center" wrapText="1"/>
      <protection/>
    </xf>
    <xf numFmtId="49" fontId="5" fillId="32" borderId="14" xfId="0" applyNumberFormat="1" applyFont="1" applyFill="1" applyBorder="1" applyAlignment="1" applyProtection="1">
      <alignment vertical="center"/>
      <protection/>
    </xf>
    <xf numFmtId="49" fontId="5" fillId="32" borderId="15" xfId="0" applyNumberFormat="1" applyFont="1" applyFill="1" applyBorder="1" applyAlignment="1" applyProtection="1">
      <alignment vertical="center"/>
      <protection/>
    </xf>
    <xf numFmtId="49" fontId="5" fillId="32" borderId="16" xfId="0" applyNumberFormat="1" applyFont="1" applyFill="1" applyBorder="1" applyAlignment="1" applyProtection="1">
      <alignment vertical="center"/>
      <protection/>
    </xf>
    <xf numFmtId="49" fontId="5" fillId="32" borderId="17" xfId="0" applyNumberFormat="1" applyFont="1" applyFill="1" applyBorder="1" applyAlignment="1" applyProtection="1">
      <alignment vertical="center"/>
      <protection/>
    </xf>
    <xf numFmtId="49" fontId="10" fillId="32" borderId="0" xfId="0" applyNumberFormat="1" applyFont="1" applyFill="1" applyBorder="1" applyAlignment="1" applyProtection="1">
      <alignment vertical="center"/>
      <protection/>
    </xf>
    <xf numFmtId="49" fontId="5" fillId="32" borderId="18" xfId="0" applyNumberFormat="1" applyFont="1" applyFill="1" applyBorder="1" applyAlignment="1" applyProtection="1">
      <alignment vertical="center"/>
      <protection/>
    </xf>
    <xf numFmtId="49" fontId="5" fillId="32" borderId="19" xfId="0" applyNumberFormat="1" applyFont="1" applyFill="1" applyBorder="1" applyAlignment="1" applyProtection="1">
      <alignment vertical="center"/>
      <protection/>
    </xf>
    <xf numFmtId="49" fontId="5" fillId="32" borderId="20" xfId="0" applyNumberFormat="1" applyFont="1" applyFill="1" applyBorder="1" applyAlignment="1" applyProtection="1">
      <alignment vertical="center"/>
      <protection/>
    </xf>
    <xf numFmtId="49" fontId="5" fillId="32" borderId="21" xfId="0" applyNumberFormat="1" applyFont="1" applyFill="1" applyBorder="1" applyAlignment="1" applyProtection="1">
      <alignment vertical="center"/>
      <protection/>
    </xf>
    <xf numFmtId="49" fontId="5" fillId="32" borderId="22" xfId="0" applyNumberFormat="1" applyFont="1" applyFill="1" applyBorder="1" applyAlignment="1" applyProtection="1">
      <alignment vertical="center"/>
      <protection/>
    </xf>
    <xf numFmtId="49" fontId="5" fillId="32" borderId="23" xfId="0" applyNumberFormat="1" applyFont="1" applyFill="1" applyBorder="1" applyAlignment="1" applyProtection="1">
      <alignment vertical="center"/>
      <protection/>
    </xf>
    <xf numFmtId="49" fontId="5" fillId="32" borderId="24" xfId="0" applyNumberFormat="1" applyFont="1" applyFill="1" applyBorder="1" applyAlignment="1" applyProtection="1">
      <alignment vertical="center"/>
      <protection/>
    </xf>
    <xf numFmtId="0" fontId="0" fillId="32" borderId="0" xfId="0" applyFill="1" applyAlignment="1" applyProtection="1">
      <alignment vertical="center"/>
      <protection/>
    </xf>
    <xf numFmtId="49" fontId="5" fillId="32" borderId="25" xfId="0" applyNumberFormat="1" applyFont="1" applyFill="1" applyBorder="1" applyAlignment="1" applyProtection="1">
      <alignment horizontal="left" vertical="center"/>
      <protection/>
    </xf>
    <xf numFmtId="49" fontId="5" fillId="32" borderId="12" xfId="0" applyNumberFormat="1" applyFont="1" applyFill="1" applyBorder="1" applyAlignment="1" applyProtection="1">
      <alignment horizontal="left" vertical="center"/>
      <protection/>
    </xf>
    <xf numFmtId="49" fontId="5" fillId="32" borderId="26" xfId="0" applyNumberFormat="1" applyFont="1" applyFill="1" applyBorder="1" applyAlignment="1" applyProtection="1">
      <alignment horizontal="left" vertical="center"/>
      <protection/>
    </xf>
    <xf numFmtId="49" fontId="5" fillId="32" borderId="0" xfId="0" applyNumberFormat="1" applyFont="1" applyFill="1" applyBorder="1" applyAlignment="1" applyProtection="1">
      <alignment horizontal="right" vertical="center"/>
      <protection/>
    </xf>
    <xf numFmtId="49" fontId="5" fillId="32" borderId="15" xfId="0" applyNumberFormat="1" applyFont="1" applyFill="1" applyBorder="1" applyAlignment="1" applyProtection="1">
      <alignment horizontal="right" vertical="center"/>
      <protection/>
    </xf>
    <xf numFmtId="49" fontId="5" fillId="32" borderId="24" xfId="0" applyNumberFormat="1" applyFont="1" applyFill="1" applyBorder="1" applyAlignment="1" applyProtection="1">
      <alignment horizontal="right" vertical="center"/>
      <protection/>
    </xf>
    <xf numFmtId="49" fontId="5" fillId="32" borderId="27" xfId="0" applyNumberFormat="1" applyFont="1" applyFill="1" applyBorder="1" applyAlignment="1" applyProtection="1">
      <alignment vertical="center"/>
      <protection/>
    </xf>
    <xf numFmtId="49" fontId="5" fillId="32" borderId="17" xfId="0" applyNumberFormat="1" applyFont="1" applyFill="1" applyBorder="1" applyAlignment="1" applyProtection="1">
      <alignment horizontal="right" vertical="center"/>
      <protection/>
    </xf>
    <xf numFmtId="49" fontId="5" fillId="32" borderId="0" xfId="0" applyNumberFormat="1" applyFont="1" applyFill="1" applyBorder="1" applyAlignment="1" applyProtection="1">
      <alignment horizontal="justify" vertical="center" wrapText="1"/>
      <protection/>
    </xf>
    <xf numFmtId="0" fontId="1" fillId="32" borderId="0" xfId="0" applyFont="1" applyFill="1" applyBorder="1" applyAlignment="1" applyProtection="1">
      <alignment vertical="center" wrapText="1"/>
      <protection/>
    </xf>
    <xf numFmtId="49" fontId="5" fillId="32" borderId="25" xfId="0" applyNumberFormat="1" applyFont="1" applyFill="1" applyBorder="1" applyAlignment="1" applyProtection="1">
      <alignment vertical="center"/>
      <protection/>
    </xf>
    <xf numFmtId="49" fontId="5" fillId="32" borderId="26" xfId="0" applyNumberFormat="1" applyFont="1" applyFill="1" applyBorder="1" applyAlignment="1" applyProtection="1">
      <alignment vertical="center"/>
      <protection/>
    </xf>
    <xf numFmtId="49" fontId="5" fillId="32" borderId="28" xfId="0" applyNumberFormat="1" applyFont="1" applyFill="1" applyBorder="1" applyAlignment="1" applyProtection="1">
      <alignment horizontal="right" vertical="center"/>
      <protection/>
    </xf>
    <xf numFmtId="49" fontId="7" fillId="32" borderId="29" xfId="0" applyNumberFormat="1" applyFont="1" applyFill="1" applyBorder="1" applyAlignment="1" applyProtection="1">
      <alignment horizontal="right" vertical="center"/>
      <protection/>
    </xf>
    <xf numFmtId="49" fontId="5" fillId="32" borderId="30" xfId="0" applyNumberFormat="1" applyFont="1" applyFill="1" applyBorder="1" applyAlignment="1" applyProtection="1">
      <alignment vertical="center"/>
      <protection/>
    </xf>
    <xf numFmtId="49" fontId="1" fillId="32" borderId="18" xfId="0" applyNumberFormat="1" applyFont="1" applyFill="1" applyBorder="1" applyAlignment="1" applyProtection="1">
      <alignment horizontal="center" vertical="center"/>
      <protection/>
    </xf>
    <xf numFmtId="49" fontId="1" fillId="32" borderId="18" xfId="0" applyNumberFormat="1" applyFont="1" applyFill="1" applyBorder="1" applyAlignment="1" applyProtection="1">
      <alignment vertical="center"/>
      <protection/>
    </xf>
    <xf numFmtId="49" fontId="1" fillId="32" borderId="31" xfId="0" applyNumberFormat="1" applyFont="1" applyFill="1" applyBorder="1" applyAlignment="1" applyProtection="1">
      <alignment vertical="center"/>
      <protection/>
    </xf>
    <xf numFmtId="49" fontId="9" fillId="32" borderId="0" xfId="0" applyNumberFormat="1" applyFont="1" applyFill="1" applyBorder="1" applyAlignment="1" applyProtection="1">
      <alignment vertical="top"/>
      <protection/>
    </xf>
    <xf numFmtId="49" fontId="1" fillId="32" borderId="20" xfId="0" applyNumberFormat="1" applyFont="1" applyFill="1" applyBorder="1" applyAlignment="1" applyProtection="1">
      <alignment horizontal="center" vertical="center"/>
      <protection/>
    </xf>
    <xf numFmtId="49" fontId="1" fillId="32" borderId="29" xfId="0" applyNumberFormat="1" applyFont="1" applyFill="1" applyBorder="1" applyAlignment="1" applyProtection="1">
      <alignment horizontal="center" vertical="center"/>
      <protection/>
    </xf>
    <xf numFmtId="49" fontId="1" fillId="32" borderId="22" xfId="0" applyNumberFormat="1" applyFont="1" applyFill="1" applyBorder="1" applyAlignment="1" applyProtection="1">
      <alignment vertical="center"/>
      <protection/>
    </xf>
    <xf numFmtId="0" fontId="1" fillId="32" borderId="32" xfId="0" applyFont="1" applyFill="1" applyBorder="1" applyAlignment="1" applyProtection="1">
      <alignment horizontal="distributed" vertical="center"/>
      <protection/>
    </xf>
    <xf numFmtId="49" fontId="1" fillId="32" borderId="31" xfId="0" applyNumberFormat="1" applyFont="1" applyFill="1" applyBorder="1" applyAlignment="1" applyProtection="1">
      <alignment horizontal="center" vertical="center"/>
      <protection/>
    </xf>
    <xf numFmtId="49" fontId="1" fillId="32" borderId="10" xfId="0" applyNumberFormat="1" applyFont="1" applyFill="1" applyBorder="1" applyAlignment="1" applyProtection="1">
      <alignment horizontal="center" vertical="center"/>
      <protection/>
    </xf>
    <xf numFmtId="49" fontId="9" fillId="32" borderId="0" xfId="0" applyNumberFormat="1" applyFont="1" applyFill="1" applyBorder="1" applyAlignment="1" applyProtection="1">
      <alignment vertical="center"/>
      <protection/>
    </xf>
    <xf numFmtId="49" fontId="9" fillId="32" borderId="0" xfId="0" applyNumberFormat="1" applyFont="1" applyFill="1" applyBorder="1" applyAlignment="1" applyProtection="1">
      <alignment horizontal="right" vertical="top"/>
      <protection/>
    </xf>
    <xf numFmtId="49" fontId="1" fillId="32" borderId="10" xfId="0" applyNumberFormat="1" applyFont="1" applyFill="1" applyBorder="1" applyAlignment="1" applyProtection="1">
      <alignment vertical="center"/>
      <protection/>
    </xf>
    <xf numFmtId="49" fontId="1" fillId="32" borderId="20" xfId="0" applyNumberFormat="1" applyFont="1" applyFill="1" applyBorder="1" applyAlignment="1" applyProtection="1">
      <alignment vertical="center"/>
      <protection/>
    </xf>
    <xf numFmtId="49" fontId="5" fillId="32" borderId="0" xfId="0" applyNumberFormat="1" applyFont="1" applyFill="1" applyBorder="1" applyAlignment="1" applyProtection="1">
      <alignment vertical="distributed"/>
      <protection/>
    </xf>
    <xf numFmtId="49" fontId="1" fillId="32" borderId="0" xfId="0" applyNumberFormat="1" applyFont="1" applyFill="1" applyBorder="1" applyAlignment="1" applyProtection="1">
      <alignment/>
      <protection/>
    </xf>
    <xf numFmtId="49" fontId="1" fillId="32" borderId="0" xfId="0" applyNumberFormat="1" applyFont="1" applyFill="1" applyAlignment="1" applyProtection="1">
      <alignment horizontal="center" vertical="center"/>
      <protection/>
    </xf>
    <xf numFmtId="49" fontId="9" fillId="32" borderId="0" xfId="0" applyNumberFormat="1" applyFont="1" applyFill="1" applyBorder="1" applyAlignment="1" applyProtection="1">
      <alignment horizontal="center" vertical="center"/>
      <protection/>
    </xf>
    <xf numFmtId="49" fontId="28" fillId="32" borderId="0" xfId="0" applyNumberFormat="1" applyFont="1" applyFill="1" applyBorder="1" applyAlignment="1" applyProtection="1">
      <alignment horizontal="left" vertical="center"/>
      <protection/>
    </xf>
    <xf numFmtId="49" fontId="29" fillId="32" borderId="0" xfId="0" applyNumberFormat="1" applyFont="1" applyFill="1" applyBorder="1" applyAlignment="1" applyProtection="1">
      <alignment vertical="center"/>
      <protection/>
    </xf>
    <xf numFmtId="49" fontId="5" fillId="32" borderId="19" xfId="0" applyNumberFormat="1" applyFont="1" applyFill="1" applyBorder="1" applyAlignment="1" applyProtection="1">
      <alignment horizontal="left" vertical="center"/>
      <protection/>
    </xf>
    <xf numFmtId="49" fontId="5" fillId="32" borderId="29" xfId="0" applyNumberFormat="1" applyFont="1" applyFill="1" applyBorder="1" applyAlignment="1" applyProtection="1">
      <alignment horizontal="center" vertical="center"/>
      <protection/>
    </xf>
    <xf numFmtId="181" fontId="1" fillId="32" borderId="0" xfId="0" applyNumberFormat="1" applyFont="1" applyFill="1" applyAlignment="1" applyProtection="1">
      <alignment vertical="center"/>
      <protection/>
    </xf>
    <xf numFmtId="0" fontId="1" fillId="32" borderId="0" xfId="0" applyFont="1" applyFill="1" applyAlignment="1" applyProtection="1">
      <alignment vertical="center"/>
      <protection/>
    </xf>
    <xf numFmtId="49" fontId="15" fillId="32" borderId="0" xfId="0" applyNumberFormat="1" applyFont="1" applyFill="1" applyBorder="1" applyAlignment="1" applyProtection="1">
      <alignment vertical="center"/>
      <protection/>
    </xf>
    <xf numFmtId="194" fontId="1" fillId="32" borderId="0" xfId="0" applyNumberFormat="1" applyFont="1" applyFill="1" applyBorder="1" applyAlignment="1" applyProtection="1">
      <alignment vertical="center"/>
      <protection/>
    </xf>
    <xf numFmtId="49" fontId="30" fillId="32" borderId="0" xfId="0" applyNumberFormat="1" applyFont="1" applyFill="1" applyBorder="1" applyAlignment="1" applyProtection="1">
      <alignment horizontal="center" vertical="center"/>
      <protection/>
    </xf>
    <xf numFmtId="0" fontId="16" fillId="32" borderId="0" xfId="0" applyFont="1" applyFill="1" applyAlignment="1" applyProtection="1">
      <alignment vertical="center"/>
      <protection/>
    </xf>
    <xf numFmtId="0" fontId="0" fillId="32" borderId="0" xfId="0" applyFill="1" applyAlignment="1">
      <alignment vertical="center"/>
    </xf>
    <xf numFmtId="0" fontId="0" fillId="32" borderId="0"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0" xfId="0" applyFill="1" applyBorder="1" applyAlignment="1">
      <alignment vertical="center"/>
    </xf>
    <xf numFmtId="0" fontId="0" fillId="33" borderId="37" xfId="0" applyFill="1" applyBorder="1" applyAlignment="1">
      <alignment vertical="center"/>
    </xf>
    <xf numFmtId="0" fontId="19" fillId="33" borderId="0" xfId="0" applyFont="1" applyFill="1" applyBorder="1" applyAlignment="1">
      <alignment vertical="center"/>
    </xf>
    <xf numFmtId="0" fontId="0" fillId="33" borderId="38" xfId="0" applyFill="1" applyBorder="1" applyAlignment="1">
      <alignment vertical="center"/>
    </xf>
    <xf numFmtId="0" fontId="0" fillId="33" borderId="18" xfId="0" applyFill="1" applyBorder="1" applyAlignment="1">
      <alignment vertical="center"/>
    </xf>
    <xf numFmtId="0" fontId="0" fillId="33" borderId="39" xfId="0" applyFill="1" applyBorder="1" applyAlignment="1">
      <alignment vertical="center"/>
    </xf>
    <xf numFmtId="0" fontId="17" fillId="33" borderId="40" xfId="0" applyFont="1" applyFill="1" applyBorder="1" applyAlignment="1">
      <alignment horizontal="center" vertical="center"/>
    </xf>
    <xf numFmtId="0" fontId="0" fillId="33" borderId="40" xfId="0" applyFill="1" applyBorder="1" applyAlignment="1">
      <alignment vertical="center"/>
    </xf>
    <xf numFmtId="0" fontId="0" fillId="33" borderId="30" xfId="0" applyFill="1" applyBorder="1" applyAlignment="1">
      <alignment vertical="center"/>
    </xf>
    <xf numFmtId="0" fontId="0" fillId="33" borderId="25" xfId="0" applyFill="1" applyBorder="1" applyAlignment="1">
      <alignment vertical="center"/>
    </xf>
    <xf numFmtId="0" fontId="0" fillId="33" borderId="12" xfId="0" applyFill="1" applyBorder="1" applyAlignment="1">
      <alignment vertical="center"/>
    </xf>
    <xf numFmtId="0" fontId="0" fillId="33" borderId="26" xfId="0" applyFill="1" applyBorder="1" applyAlignment="1">
      <alignment vertical="center"/>
    </xf>
    <xf numFmtId="0" fontId="17" fillId="33" borderId="38" xfId="0" applyFont="1" applyFill="1" applyBorder="1" applyAlignment="1">
      <alignment horizontal="lef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0" xfId="0" applyFill="1" applyBorder="1" applyAlignment="1">
      <alignment vertical="center"/>
    </xf>
    <xf numFmtId="0" fontId="0" fillId="34" borderId="0" xfId="0" applyFill="1" applyAlignment="1">
      <alignment vertical="center"/>
    </xf>
    <xf numFmtId="0" fontId="0" fillId="34" borderId="47" xfId="0" applyFill="1" applyBorder="1" applyAlignment="1">
      <alignment vertical="center"/>
    </xf>
    <xf numFmtId="0" fontId="0" fillId="34" borderId="38" xfId="0" applyFill="1" applyBorder="1" applyAlignment="1">
      <alignment vertical="center"/>
    </xf>
    <xf numFmtId="0" fontId="0" fillId="34" borderId="18" xfId="0" applyFill="1" applyBorder="1" applyAlignment="1">
      <alignment vertical="center"/>
    </xf>
    <xf numFmtId="0" fontId="0" fillId="34" borderId="12" xfId="0" applyFill="1" applyBorder="1" applyAlignment="1">
      <alignment vertical="center"/>
    </xf>
    <xf numFmtId="0" fontId="0" fillId="34" borderId="26" xfId="0" applyFill="1" applyBorder="1" applyAlignment="1">
      <alignment vertical="center"/>
    </xf>
    <xf numFmtId="0" fontId="0" fillId="34" borderId="40" xfId="0" applyFill="1" applyBorder="1" applyAlignment="1">
      <alignment vertical="center"/>
    </xf>
    <xf numFmtId="0" fontId="0" fillId="34" borderId="30" xfId="0" applyFill="1" applyBorder="1" applyAlignment="1">
      <alignment vertical="center"/>
    </xf>
    <xf numFmtId="0" fontId="0" fillId="34" borderId="39" xfId="0" applyFill="1" applyBorder="1" applyAlignment="1">
      <alignment vertical="center"/>
    </xf>
    <xf numFmtId="0" fontId="17" fillId="34" borderId="40" xfId="0" applyFont="1" applyFill="1" applyBorder="1" applyAlignment="1">
      <alignment horizontal="center" vertical="center"/>
    </xf>
    <xf numFmtId="0" fontId="0" fillId="34" borderId="25" xfId="0" applyFill="1" applyBorder="1" applyAlignment="1">
      <alignment vertical="center"/>
    </xf>
    <xf numFmtId="0" fontId="17" fillId="34" borderId="38" xfId="0" applyFont="1" applyFill="1" applyBorder="1" applyAlignment="1">
      <alignment horizontal="righ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vertical="center"/>
    </xf>
    <xf numFmtId="0" fontId="0" fillId="5" borderId="51" xfId="0" applyFill="1" applyBorder="1" applyAlignment="1">
      <alignment vertical="center"/>
    </xf>
    <xf numFmtId="0" fontId="0" fillId="5" borderId="44" xfId="0" applyFill="1" applyBorder="1" applyAlignment="1">
      <alignment vertical="center"/>
    </xf>
    <xf numFmtId="0" fontId="0" fillId="5" borderId="52" xfId="0" applyFill="1" applyBorder="1" applyAlignment="1">
      <alignment vertical="center"/>
    </xf>
    <xf numFmtId="0" fontId="0" fillId="5" borderId="53" xfId="0" applyFill="1" applyBorder="1" applyAlignment="1">
      <alignment vertical="center"/>
    </xf>
    <xf numFmtId="0" fontId="0" fillId="5" borderId="46" xfId="0" applyFill="1" applyBorder="1" applyAlignment="1">
      <alignment vertical="center"/>
    </xf>
    <xf numFmtId="0" fontId="0" fillId="5" borderId="0" xfId="0" applyFill="1" applyBorder="1" applyAlignment="1">
      <alignment vertical="center"/>
    </xf>
    <xf numFmtId="0" fontId="0" fillId="5" borderId="37" xfId="0" applyFill="1" applyBorder="1" applyAlignment="1">
      <alignment vertical="center"/>
    </xf>
    <xf numFmtId="0" fontId="0" fillId="5" borderId="38" xfId="0" applyFill="1" applyBorder="1" applyAlignment="1">
      <alignment vertical="center"/>
    </xf>
    <xf numFmtId="0" fontId="0" fillId="5" borderId="18" xfId="0" applyFill="1" applyBorder="1" applyAlignment="1">
      <alignment vertical="center"/>
    </xf>
    <xf numFmtId="0" fontId="0" fillId="5" borderId="54" xfId="0" applyFill="1" applyBorder="1" applyAlignment="1">
      <alignment vertical="center"/>
    </xf>
    <xf numFmtId="0" fontId="0" fillId="5" borderId="40" xfId="0" applyFill="1" applyBorder="1" applyAlignment="1">
      <alignment vertical="center"/>
    </xf>
    <xf numFmtId="0" fontId="0" fillId="5" borderId="30" xfId="0" applyFill="1" applyBorder="1" applyAlignment="1">
      <alignment vertical="center"/>
    </xf>
    <xf numFmtId="0" fontId="0" fillId="5" borderId="39" xfId="0" applyFill="1" applyBorder="1" applyAlignment="1">
      <alignment vertical="center"/>
    </xf>
    <xf numFmtId="0" fontId="17" fillId="5" borderId="40" xfId="0" applyFont="1" applyFill="1" applyBorder="1" applyAlignment="1">
      <alignment horizontal="center" vertical="center"/>
    </xf>
    <xf numFmtId="0" fontId="0" fillId="5" borderId="55" xfId="0" applyFill="1" applyBorder="1" applyAlignment="1">
      <alignment vertical="center"/>
    </xf>
    <xf numFmtId="0" fontId="17" fillId="5" borderId="55" xfId="0" applyFont="1" applyFill="1" applyBorder="1" applyAlignment="1">
      <alignment horizontal="center" vertical="center"/>
    </xf>
    <xf numFmtId="0" fontId="0" fillId="5" borderId="12" xfId="0" applyFill="1" applyBorder="1" applyAlignment="1">
      <alignment vertical="center"/>
    </xf>
    <xf numFmtId="0" fontId="0" fillId="5" borderId="26" xfId="0" applyFill="1" applyBorder="1" applyAlignment="1">
      <alignment vertical="center"/>
    </xf>
    <xf numFmtId="0" fontId="0" fillId="5" borderId="25" xfId="0" applyFill="1" applyBorder="1" applyAlignment="1">
      <alignment vertical="center"/>
    </xf>
    <xf numFmtId="0" fontId="0" fillId="5" borderId="56" xfId="0" applyFill="1" applyBorder="1" applyAlignment="1">
      <alignment vertical="center"/>
    </xf>
    <xf numFmtId="0" fontId="0" fillId="5" borderId="57" xfId="0" applyFill="1" applyBorder="1" applyAlignment="1">
      <alignment vertical="center"/>
    </xf>
    <xf numFmtId="0" fontId="0" fillId="5" borderId="42" xfId="0" applyFill="1" applyBorder="1" applyAlignment="1">
      <alignment vertical="center"/>
    </xf>
    <xf numFmtId="0" fontId="0" fillId="5" borderId="58" xfId="0" applyFill="1" applyBorder="1" applyAlignment="1">
      <alignment vertical="center"/>
    </xf>
    <xf numFmtId="0" fontId="0" fillId="5" borderId="59" xfId="0" applyFill="1" applyBorder="1" applyAlignment="1">
      <alignment vertical="center"/>
    </xf>
    <xf numFmtId="0" fontId="0" fillId="5" borderId="60" xfId="0" applyFill="1" applyBorder="1" applyAlignment="1">
      <alignment vertical="center"/>
    </xf>
    <xf numFmtId="49" fontId="0" fillId="32" borderId="12" xfId="0" applyNumberFormat="1" applyFill="1" applyBorder="1" applyAlignment="1">
      <alignment vertical="top" wrapText="1"/>
    </xf>
    <xf numFmtId="0" fontId="20" fillId="32" borderId="0" xfId="43" applyFont="1" applyFill="1" applyAlignment="1" applyProtection="1">
      <alignment vertical="center"/>
      <protection/>
    </xf>
    <xf numFmtId="0" fontId="30" fillId="32" borderId="0" xfId="0" applyNumberFormat="1" applyFont="1" applyFill="1" applyBorder="1" applyAlignment="1" applyProtection="1">
      <alignment horizontal="center" vertical="center"/>
      <protection/>
    </xf>
    <xf numFmtId="0" fontId="31" fillId="32" borderId="0" xfId="0" applyNumberFormat="1" applyFont="1" applyFill="1" applyBorder="1" applyAlignment="1" applyProtection="1">
      <alignment horizontal="center" vertical="center"/>
      <protection/>
    </xf>
    <xf numFmtId="49" fontId="28" fillId="32" borderId="0" xfId="0" applyNumberFormat="1" applyFont="1" applyFill="1" applyBorder="1" applyAlignment="1" applyProtection="1">
      <alignment vertical="center"/>
      <protection/>
    </xf>
    <xf numFmtId="181" fontId="10" fillId="32" borderId="0" xfId="0" applyNumberFormat="1" applyFont="1" applyFill="1" applyAlignment="1" applyProtection="1">
      <alignment vertical="center"/>
      <protection/>
    </xf>
    <xf numFmtId="49" fontId="10" fillId="32" borderId="0" xfId="0" applyNumberFormat="1" applyFont="1" applyFill="1" applyAlignment="1" applyProtection="1">
      <alignment vertical="center"/>
      <protection/>
    </xf>
    <xf numFmtId="49" fontId="4" fillId="32" borderId="0" xfId="0" applyNumberFormat="1" applyFont="1" applyFill="1" applyBorder="1" applyAlignment="1" applyProtection="1">
      <alignment horizontal="center" vertical="center"/>
      <protection/>
    </xf>
    <xf numFmtId="49" fontId="1" fillId="32" borderId="0" xfId="0" applyNumberFormat="1" applyFont="1" applyFill="1" applyBorder="1" applyAlignment="1" applyProtection="1">
      <alignment vertical="center"/>
      <protection/>
    </xf>
    <xf numFmtId="0" fontId="32" fillId="32" borderId="0" xfId="0" applyNumberFormat="1" applyFont="1" applyFill="1" applyAlignment="1" applyProtection="1">
      <alignment horizontal="left" vertical="center"/>
      <protection/>
    </xf>
    <xf numFmtId="0" fontId="1" fillId="32" borderId="0" xfId="0" applyNumberFormat="1" applyFont="1" applyFill="1" applyBorder="1" applyAlignment="1" applyProtection="1">
      <alignment vertical="center"/>
      <protection/>
    </xf>
    <xf numFmtId="0" fontId="0" fillId="10" borderId="0" xfId="0" applyFill="1" applyAlignment="1" applyProtection="1">
      <alignment vertical="center"/>
      <protection/>
    </xf>
    <xf numFmtId="191" fontId="0" fillId="10" borderId="0" xfId="0" applyNumberFormat="1" applyFill="1" applyAlignment="1" applyProtection="1">
      <alignment vertical="center"/>
      <protection/>
    </xf>
    <xf numFmtId="0" fontId="13" fillId="10" borderId="0" xfId="0" applyFont="1" applyFill="1" applyAlignment="1" applyProtection="1">
      <alignment vertical="center"/>
      <protection/>
    </xf>
    <xf numFmtId="0" fontId="0" fillId="10" borderId="0" xfId="0" applyFill="1" applyAlignment="1" applyProtection="1">
      <alignment horizontal="center" vertical="center"/>
      <protection/>
    </xf>
    <xf numFmtId="0" fontId="13" fillId="10" borderId="0" xfId="0" applyFont="1" applyFill="1" applyAlignment="1" applyProtection="1">
      <alignment horizontal="center" vertical="center"/>
      <protection/>
    </xf>
    <xf numFmtId="0" fontId="13" fillId="10" borderId="0" xfId="0" applyFont="1" applyFill="1" applyBorder="1" applyAlignment="1" applyProtection="1">
      <alignment horizontal="center" vertical="center"/>
      <protection/>
    </xf>
    <xf numFmtId="0" fontId="13" fillId="10" borderId="61" xfId="0" applyFont="1" applyFill="1" applyBorder="1" applyAlignment="1" applyProtection="1">
      <alignment horizontal="center" vertical="center" shrinkToFit="1"/>
      <protection/>
    </xf>
    <xf numFmtId="0" fontId="13" fillId="10" borderId="62" xfId="0" applyFont="1" applyFill="1" applyBorder="1" applyAlignment="1" applyProtection="1">
      <alignment horizontal="center" vertical="center" shrinkToFit="1"/>
      <protection/>
    </xf>
    <xf numFmtId="0" fontId="13" fillId="10" borderId="0" xfId="0" applyFont="1" applyFill="1" applyBorder="1" applyAlignment="1" applyProtection="1">
      <alignment horizontal="center" vertical="center" shrinkToFit="1"/>
      <protection/>
    </xf>
    <xf numFmtId="0" fontId="13" fillId="10" borderId="61" xfId="0" applyFont="1" applyFill="1" applyBorder="1" applyAlignment="1" applyProtection="1">
      <alignment horizontal="center" vertical="center"/>
      <protection/>
    </xf>
    <xf numFmtId="0" fontId="13" fillId="10" borderId="62" xfId="0" applyFont="1" applyFill="1" applyBorder="1" applyAlignment="1" applyProtection="1">
      <alignment vertical="center"/>
      <protection/>
    </xf>
    <xf numFmtId="49" fontId="5" fillId="10" borderId="0" xfId="0" applyNumberFormat="1" applyFont="1" applyFill="1" applyBorder="1" applyAlignment="1" applyProtection="1">
      <alignment vertical="center"/>
      <protection/>
    </xf>
    <xf numFmtId="0" fontId="19" fillId="10" borderId="0" xfId="0" applyFont="1" applyFill="1" applyAlignment="1" applyProtection="1">
      <alignment vertical="center"/>
      <protection/>
    </xf>
    <xf numFmtId="0" fontId="13" fillId="10" borderId="63" xfId="0" applyFont="1" applyFill="1" applyBorder="1" applyAlignment="1" applyProtection="1">
      <alignment horizontal="center" vertical="center"/>
      <protection/>
    </xf>
    <xf numFmtId="0" fontId="13" fillId="10" borderId="63" xfId="0" applyFont="1" applyFill="1" applyBorder="1" applyAlignment="1" applyProtection="1">
      <alignment vertical="center"/>
      <protection/>
    </xf>
    <xf numFmtId="181" fontId="0" fillId="10" borderId="0" xfId="0" applyNumberFormat="1" applyFill="1" applyAlignment="1" applyProtection="1">
      <alignment vertical="center"/>
      <protection/>
    </xf>
    <xf numFmtId="0" fontId="0" fillId="10" borderId="0" xfId="0" applyFill="1" applyAlignment="1" applyProtection="1">
      <alignment horizontal="right" vertical="center"/>
      <protection/>
    </xf>
    <xf numFmtId="0" fontId="13" fillId="10" borderId="64" xfId="0" applyFont="1" applyFill="1" applyBorder="1" applyAlignment="1" applyProtection="1">
      <alignment horizontal="center" vertical="center"/>
      <protection/>
    </xf>
    <xf numFmtId="0" fontId="13" fillId="10" borderId="40" xfId="0" applyFont="1" applyFill="1" applyBorder="1" applyAlignment="1" applyProtection="1">
      <alignment vertical="center"/>
      <protection/>
    </xf>
    <xf numFmtId="0" fontId="13" fillId="10" borderId="65" xfId="0" applyFont="1" applyFill="1" applyBorder="1" applyAlignment="1" applyProtection="1">
      <alignment horizontal="center" vertical="center"/>
      <protection/>
    </xf>
    <xf numFmtId="0" fontId="13" fillId="10" borderId="66" xfId="0" applyFont="1" applyFill="1" applyBorder="1" applyAlignment="1" applyProtection="1">
      <alignment vertical="center"/>
      <protection/>
    </xf>
    <xf numFmtId="0" fontId="13" fillId="10" borderId="67" xfId="0" applyFont="1" applyFill="1" applyBorder="1" applyAlignment="1" applyProtection="1">
      <alignment horizontal="center" vertical="center"/>
      <protection/>
    </xf>
    <xf numFmtId="0" fontId="13" fillId="10" borderId="68" xfId="0" applyFont="1" applyFill="1" applyBorder="1" applyAlignment="1" applyProtection="1">
      <alignment vertical="center"/>
      <protection/>
    </xf>
    <xf numFmtId="0" fontId="13" fillId="10" borderId="64" xfId="0" applyFont="1" applyFill="1" applyBorder="1" applyAlignment="1" applyProtection="1">
      <alignment vertical="center"/>
      <protection/>
    </xf>
    <xf numFmtId="0" fontId="13" fillId="10" borderId="69" xfId="0" applyFont="1" applyFill="1" applyBorder="1" applyAlignment="1" applyProtection="1">
      <alignment horizontal="center" vertical="center"/>
      <protection/>
    </xf>
    <xf numFmtId="0" fontId="13" fillId="10" borderId="70" xfId="0" applyFont="1" applyFill="1" applyBorder="1" applyAlignment="1" applyProtection="1">
      <alignment vertical="center"/>
      <protection/>
    </xf>
    <xf numFmtId="0" fontId="13" fillId="10" borderId="71" xfId="0" applyFont="1" applyFill="1" applyBorder="1" applyAlignment="1" applyProtection="1">
      <alignment vertical="center"/>
      <protection/>
    </xf>
    <xf numFmtId="0" fontId="13" fillId="10" borderId="24" xfId="0" applyFont="1" applyFill="1" applyBorder="1" applyAlignment="1" applyProtection="1">
      <alignment vertical="center"/>
      <protection/>
    </xf>
    <xf numFmtId="0" fontId="13" fillId="10" borderId="72" xfId="0" applyFont="1" applyFill="1" applyBorder="1" applyAlignment="1" applyProtection="1">
      <alignment horizontal="center" vertical="center"/>
      <protection/>
    </xf>
    <xf numFmtId="0" fontId="13" fillId="10" borderId="73" xfId="0" applyFont="1" applyFill="1" applyBorder="1" applyAlignment="1" applyProtection="1">
      <alignment horizontal="center" vertical="center"/>
      <protection/>
    </xf>
    <xf numFmtId="0" fontId="13" fillId="10" borderId="0" xfId="0" applyFont="1" applyFill="1" applyAlignment="1" applyProtection="1">
      <alignment horizontal="right" vertical="center"/>
      <protection/>
    </xf>
    <xf numFmtId="0" fontId="13" fillId="10" borderId="27" xfId="0" applyFont="1" applyFill="1" applyBorder="1" applyAlignment="1" applyProtection="1">
      <alignment vertical="center"/>
      <protection/>
    </xf>
    <xf numFmtId="0" fontId="0" fillId="10" borderId="0" xfId="0" applyFill="1" applyBorder="1" applyAlignment="1" applyProtection="1">
      <alignment vertical="center"/>
      <protection/>
    </xf>
    <xf numFmtId="0" fontId="13" fillId="10" borderId="74" xfId="0" applyFont="1" applyFill="1" applyBorder="1" applyAlignment="1" applyProtection="1">
      <alignment horizontal="center" vertical="center"/>
      <protection/>
    </xf>
    <xf numFmtId="0" fontId="0" fillId="10" borderId="0" xfId="0" applyFill="1" applyAlignment="1">
      <alignment vertical="center"/>
    </xf>
    <xf numFmtId="0" fontId="0" fillId="10" borderId="0" xfId="0" applyFill="1" applyAlignment="1">
      <alignment horizontal="center" vertical="center"/>
    </xf>
    <xf numFmtId="0" fontId="13" fillId="10" borderId="0" xfId="0" applyFont="1" applyFill="1" applyAlignment="1">
      <alignment vertical="center"/>
    </xf>
    <xf numFmtId="0" fontId="13" fillId="10" borderId="75" xfId="0" applyFont="1" applyFill="1" applyBorder="1" applyAlignment="1" applyProtection="1">
      <alignment vertical="center"/>
      <protection/>
    </xf>
    <xf numFmtId="0" fontId="13" fillId="10" borderId="67" xfId="0" applyFont="1" applyFill="1" applyBorder="1" applyAlignment="1" applyProtection="1">
      <alignment vertical="center"/>
      <protection/>
    </xf>
    <xf numFmtId="0" fontId="13" fillId="10" borderId="76" xfId="0" applyFont="1" applyFill="1" applyBorder="1" applyAlignment="1" applyProtection="1">
      <alignment horizontal="center" vertical="center"/>
      <protection/>
    </xf>
    <xf numFmtId="0" fontId="13" fillId="10" borderId="77" xfId="0" applyFont="1" applyFill="1" applyBorder="1" applyAlignment="1" applyProtection="1">
      <alignment vertical="center"/>
      <protection/>
    </xf>
    <xf numFmtId="0" fontId="13" fillId="10" borderId="78" xfId="0" applyFont="1" applyFill="1" applyBorder="1" applyAlignment="1" applyProtection="1">
      <alignment horizontal="center" vertical="center"/>
      <protection/>
    </xf>
    <xf numFmtId="0" fontId="13" fillId="10" borderId="79" xfId="0" applyFont="1" applyFill="1" applyBorder="1" applyAlignment="1" applyProtection="1">
      <alignment horizontal="center" vertical="center"/>
      <protection/>
    </xf>
    <xf numFmtId="0" fontId="16" fillId="10" borderId="0" xfId="0" applyFont="1" applyFill="1" applyAlignment="1">
      <alignment horizontal="justify" vertical="center"/>
    </xf>
    <xf numFmtId="49" fontId="1" fillId="10" borderId="0" xfId="0" applyNumberFormat="1" applyFont="1" applyFill="1" applyAlignment="1" applyProtection="1">
      <alignment vertical="center"/>
      <protection/>
    </xf>
    <xf numFmtId="202" fontId="0" fillId="10" borderId="0" xfId="0" applyNumberFormat="1" applyFill="1" applyAlignment="1" applyProtection="1">
      <alignment vertical="center"/>
      <protection/>
    </xf>
    <xf numFmtId="0" fontId="13" fillId="10" borderId="27" xfId="0" applyFont="1" applyFill="1" applyBorder="1" applyAlignment="1" applyProtection="1">
      <alignment horizontal="center" vertical="center"/>
      <protection/>
    </xf>
    <xf numFmtId="0" fontId="13" fillId="10" borderId="80" xfId="0" applyFont="1" applyFill="1" applyBorder="1" applyAlignment="1" applyProtection="1">
      <alignment horizontal="center" vertical="center" shrinkToFit="1"/>
      <protection/>
    </xf>
    <xf numFmtId="0" fontId="13" fillId="10" borderId="81" xfId="0" applyFont="1" applyFill="1" applyBorder="1" applyAlignment="1" applyProtection="1">
      <alignment horizontal="center" vertical="center" shrinkToFit="1"/>
      <protection/>
    </xf>
    <xf numFmtId="49" fontId="5" fillId="32" borderId="0" xfId="0" applyNumberFormat="1" applyFont="1" applyFill="1" applyBorder="1" applyAlignment="1" applyProtection="1">
      <alignment vertical="center" wrapText="1"/>
      <protection/>
    </xf>
    <xf numFmtId="49" fontId="1" fillId="32" borderId="0" xfId="0" applyNumberFormat="1" applyFont="1" applyFill="1" applyBorder="1" applyAlignment="1" applyProtection="1">
      <alignment horizontal="distributed" vertical="center"/>
      <protection/>
    </xf>
    <xf numFmtId="49" fontId="5" fillId="32" borderId="0" xfId="0" applyNumberFormat="1" applyFont="1" applyFill="1" applyBorder="1" applyAlignment="1" applyProtection="1">
      <alignment vertical="top" wrapText="1"/>
      <protection/>
    </xf>
    <xf numFmtId="49" fontId="5" fillId="32" borderId="29" xfId="0" applyNumberFormat="1" applyFont="1" applyFill="1" applyBorder="1" applyAlignment="1" applyProtection="1">
      <alignment vertical="center"/>
      <protection/>
    </xf>
    <xf numFmtId="49" fontId="5" fillId="32" borderId="0" xfId="0" applyNumberFormat="1" applyFont="1" applyFill="1" applyBorder="1" applyAlignment="1" applyProtection="1">
      <alignment vertical="center"/>
      <protection/>
    </xf>
    <xf numFmtId="49" fontId="5" fillId="32" borderId="82" xfId="0" applyNumberFormat="1" applyFont="1" applyFill="1" applyBorder="1" applyAlignment="1" applyProtection="1">
      <alignment vertical="center" wrapText="1"/>
      <protection/>
    </xf>
    <xf numFmtId="49" fontId="5" fillId="32" borderId="29" xfId="0" applyNumberFormat="1" applyFont="1" applyFill="1" applyBorder="1" applyAlignment="1" applyProtection="1">
      <alignment horizontal="left" vertical="center"/>
      <protection/>
    </xf>
    <xf numFmtId="49" fontId="5" fillId="32" borderId="15" xfId="0" applyNumberFormat="1" applyFont="1" applyFill="1" applyBorder="1" applyAlignment="1" applyProtection="1">
      <alignment horizontal="left" vertical="center"/>
      <protection/>
    </xf>
    <xf numFmtId="49" fontId="1" fillId="32" borderId="10" xfId="0" applyNumberFormat="1" applyFont="1" applyFill="1" applyBorder="1" applyAlignment="1" applyProtection="1">
      <alignment horizontal="distributed" vertical="center"/>
      <protection/>
    </xf>
    <xf numFmtId="49" fontId="1" fillId="32" borderId="22" xfId="0" applyNumberFormat="1" applyFont="1" applyFill="1" applyBorder="1" applyAlignment="1" applyProtection="1">
      <alignment horizontal="center" vertical="center"/>
      <protection/>
    </xf>
    <xf numFmtId="49" fontId="1" fillId="32" borderId="17" xfId="0" applyNumberFormat="1" applyFont="1" applyFill="1" applyBorder="1" applyAlignment="1" applyProtection="1">
      <alignment horizontal="center" vertical="center"/>
      <protection/>
    </xf>
    <xf numFmtId="49" fontId="5" fillId="32" borderId="29" xfId="0" applyNumberFormat="1" applyFont="1" applyFill="1" applyBorder="1" applyAlignment="1" applyProtection="1">
      <alignment horizontal="right" vertical="center"/>
      <protection/>
    </xf>
    <xf numFmtId="49" fontId="5" fillId="32" borderId="17" xfId="0" applyNumberFormat="1" applyFont="1" applyFill="1" applyBorder="1" applyAlignment="1" applyProtection="1">
      <alignment horizontal="left" vertical="center"/>
      <protection/>
    </xf>
    <xf numFmtId="0" fontId="5" fillId="32" borderId="0" xfId="0" applyFont="1" applyFill="1" applyAlignment="1" applyProtection="1">
      <alignment vertical="center"/>
      <protection/>
    </xf>
    <xf numFmtId="49" fontId="5" fillId="32" borderId="40" xfId="0" applyNumberFormat="1" applyFont="1" applyFill="1" applyBorder="1" applyAlignment="1" applyProtection="1">
      <alignment vertical="center"/>
      <protection/>
    </xf>
    <xf numFmtId="49" fontId="5" fillId="32" borderId="28" xfId="0" applyNumberFormat="1" applyFont="1" applyFill="1" applyBorder="1" applyAlignment="1" applyProtection="1">
      <alignment vertical="center"/>
      <protection/>
    </xf>
    <xf numFmtId="49" fontId="5" fillId="32" borderId="28" xfId="0" applyNumberFormat="1" applyFont="1" applyFill="1" applyBorder="1" applyAlignment="1" applyProtection="1">
      <alignment horizontal="left" vertical="center"/>
      <protection/>
    </xf>
    <xf numFmtId="49" fontId="5" fillId="32" borderId="18"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center" vertical="center"/>
      <protection/>
    </xf>
    <xf numFmtId="49" fontId="5" fillId="32" borderId="83" xfId="0" applyNumberFormat="1" applyFont="1" applyFill="1" applyBorder="1" applyAlignment="1" applyProtection="1">
      <alignment horizontal="center" vertical="center"/>
      <protection/>
    </xf>
    <xf numFmtId="0" fontId="13" fillId="10" borderId="72" xfId="0" applyFont="1" applyFill="1" applyBorder="1" applyAlignment="1" applyProtection="1">
      <alignment vertical="center"/>
      <protection/>
    </xf>
    <xf numFmtId="0" fontId="13" fillId="10" borderId="74" xfId="0" applyFont="1" applyFill="1" applyBorder="1" applyAlignment="1" applyProtection="1">
      <alignment vertical="center"/>
      <protection/>
    </xf>
    <xf numFmtId="0" fontId="13" fillId="10" borderId="84" xfId="0" applyFont="1" applyFill="1" applyBorder="1" applyAlignment="1" applyProtection="1">
      <alignment horizontal="center" vertical="center"/>
      <protection locked="0"/>
    </xf>
    <xf numFmtId="0" fontId="5" fillId="32" borderId="40" xfId="0" applyNumberFormat="1" applyFont="1" applyFill="1" applyBorder="1" applyAlignment="1" applyProtection="1">
      <alignment vertical="center"/>
      <protection/>
    </xf>
    <xf numFmtId="0" fontId="5" fillId="32" borderId="40" xfId="0" applyNumberFormat="1" applyFont="1" applyFill="1" applyBorder="1" applyAlignment="1" applyProtection="1">
      <alignment horizontal="left" vertical="center"/>
      <protection/>
    </xf>
    <xf numFmtId="202" fontId="22" fillId="10" borderId="0" xfId="0" applyNumberFormat="1" applyFont="1" applyFill="1" applyAlignment="1" applyProtection="1">
      <alignment vertical="center"/>
      <protection/>
    </xf>
    <xf numFmtId="186" fontId="13" fillId="10" borderId="85" xfId="0" applyNumberFormat="1" applyFont="1" applyFill="1" applyBorder="1" applyAlignment="1" applyProtection="1">
      <alignment vertical="center"/>
      <protection/>
    </xf>
    <xf numFmtId="186" fontId="13" fillId="10" borderId="86" xfId="0" applyNumberFormat="1" applyFont="1" applyFill="1" applyBorder="1" applyAlignment="1" applyProtection="1">
      <alignment vertical="center"/>
      <protection/>
    </xf>
    <xf numFmtId="186" fontId="13" fillId="10" borderId="87" xfId="0" applyNumberFormat="1" applyFont="1" applyFill="1" applyBorder="1" applyAlignment="1" applyProtection="1">
      <alignment vertical="center"/>
      <protection/>
    </xf>
    <xf numFmtId="186" fontId="13" fillId="10" borderId="88" xfId="0" applyNumberFormat="1" applyFont="1" applyFill="1" applyBorder="1" applyAlignment="1" applyProtection="1">
      <alignment vertical="center"/>
      <protection/>
    </xf>
    <xf numFmtId="186" fontId="13" fillId="10" borderId="72" xfId="0" applyNumberFormat="1" applyFont="1" applyFill="1" applyBorder="1" applyAlignment="1" applyProtection="1">
      <alignment vertical="center"/>
      <protection/>
    </xf>
    <xf numFmtId="186" fontId="13" fillId="10" borderId="85" xfId="0" applyNumberFormat="1" applyFont="1" applyFill="1" applyBorder="1" applyAlignment="1" applyProtection="1">
      <alignment vertical="center"/>
      <protection/>
    </xf>
    <xf numFmtId="186" fontId="13" fillId="10" borderId="86" xfId="0" applyNumberFormat="1" applyFont="1" applyFill="1" applyBorder="1" applyAlignment="1" applyProtection="1">
      <alignment vertical="center"/>
      <protection/>
    </xf>
    <xf numFmtId="186" fontId="13" fillId="10" borderId="87" xfId="0" applyNumberFormat="1" applyFont="1" applyFill="1" applyBorder="1" applyAlignment="1" applyProtection="1">
      <alignment vertical="center"/>
      <protection/>
    </xf>
    <xf numFmtId="186" fontId="13" fillId="10" borderId="72" xfId="0" applyNumberFormat="1" applyFont="1" applyFill="1" applyBorder="1" applyAlignment="1" applyProtection="1">
      <alignment vertical="center"/>
      <protection/>
    </xf>
    <xf numFmtId="49" fontId="1" fillId="32" borderId="0" xfId="0" applyNumberFormat="1" applyFont="1" applyFill="1" applyBorder="1" applyAlignment="1" applyProtection="1">
      <alignment vertical="center" wrapText="1"/>
      <protection/>
    </xf>
    <xf numFmtId="186" fontId="13" fillId="10" borderId="0" xfId="0" applyNumberFormat="1" applyFont="1" applyFill="1" applyBorder="1" applyAlignment="1" applyProtection="1">
      <alignment vertical="center"/>
      <protection/>
    </xf>
    <xf numFmtId="186" fontId="13" fillId="10" borderId="77" xfId="0" applyNumberFormat="1" applyFont="1" applyFill="1" applyBorder="1" applyAlignment="1" applyProtection="1">
      <alignment vertical="center"/>
      <protection/>
    </xf>
    <xf numFmtId="186" fontId="13" fillId="10" borderId="89" xfId="0" applyNumberFormat="1" applyFont="1" applyFill="1" applyBorder="1" applyAlignment="1" applyProtection="1">
      <alignment vertical="center"/>
      <protection/>
    </xf>
    <xf numFmtId="186" fontId="13" fillId="10" borderId="90" xfId="0" applyNumberFormat="1" applyFont="1" applyFill="1" applyBorder="1" applyAlignment="1" applyProtection="1">
      <alignment vertical="center"/>
      <protection/>
    </xf>
    <xf numFmtId="186" fontId="13" fillId="10" borderId="91" xfId="0" applyNumberFormat="1" applyFont="1" applyFill="1" applyBorder="1" applyAlignment="1" applyProtection="1">
      <alignment vertical="center"/>
      <protection/>
    </xf>
    <xf numFmtId="186" fontId="13" fillId="10" borderId="74" xfId="0" applyNumberFormat="1" applyFont="1" applyFill="1" applyBorder="1" applyAlignment="1" applyProtection="1">
      <alignment vertical="center"/>
      <protection/>
    </xf>
    <xf numFmtId="186" fontId="13" fillId="10" borderId="63" xfId="0" applyNumberFormat="1" applyFont="1" applyFill="1" applyBorder="1" applyAlignment="1" applyProtection="1">
      <alignment vertical="center"/>
      <protection/>
    </xf>
    <xf numFmtId="49" fontId="0" fillId="10" borderId="0" xfId="0" applyNumberFormat="1" applyFill="1" applyAlignment="1" applyProtection="1">
      <alignment horizontal="center" vertical="center"/>
      <protection/>
    </xf>
    <xf numFmtId="49" fontId="0" fillId="10" borderId="0" xfId="0" applyNumberFormat="1" applyFill="1" applyAlignment="1" applyProtection="1" quotePrefix="1">
      <alignment horizontal="center" vertical="center"/>
      <protection/>
    </xf>
    <xf numFmtId="0" fontId="0" fillId="10" borderId="63" xfId="0" applyFill="1" applyBorder="1" applyAlignment="1" applyProtection="1">
      <alignment vertical="center"/>
      <protection locked="0"/>
    </xf>
    <xf numFmtId="186" fontId="13" fillId="10" borderId="92" xfId="0" applyNumberFormat="1" applyFont="1" applyFill="1" applyBorder="1" applyAlignment="1" applyProtection="1">
      <alignment vertical="center"/>
      <protection/>
    </xf>
    <xf numFmtId="186" fontId="13" fillId="10" borderId="93" xfId="0" applyNumberFormat="1" applyFont="1" applyFill="1" applyBorder="1" applyAlignment="1" applyProtection="1">
      <alignment vertical="center"/>
      <protection/>
    </xf>
    <xf numFmtId="186" fontId="13" fillId="10" borderId="94" xfId="0" applyNumberFormat="1" applyFont="1" applyFill="1" applyBorder="1" applyAlignment="1" applyProtection="1">
      <alignment vertical="center"/>
      <protection/>
    </xf>
    <xf numFmtId="186" fontId="13" fillId="10" borderId="95" xfId="0" applyNumberFormat="1" applyFont="1" applyFill="1" applyBorder="1" applyAlignment="1" applyProtection="1">
      <alignment vertical="center"/>
      <protection/>
    </xf>
    <xf numFmtId="186" fontId="13" fillId="10" borderId="96" xfId="0" applyNumberFormat="1" applyFont="1" applyFill="1" applyBorder="1" applyAlignment="1" applyProtection="1">
      <alignment vertical="center"/>
      <protection/>
    </xf>
    <xf numFmtId="0" fontId="13" fillId="10" borderId="18" xfId="0" applyFont="1" applyFill="1" applyBorder="1" applyAlignment="1" applyProtection="1">
      <alignment horizontal="center" vertical="center"/>
      <protection/>
    </xf>
    <xf numFmtId="186" fontId="13" fillId="10" borderId="91" xfId="0" applyNumberFormat="1" applyFont="1" applyFill="1" applyBorder="1" applyAlignment="1" applyProtection="1">
      <alignment vertical="center"/>
      <protection/>
    </xf>
    <xf numFmtId="186" fontId="13" fillId="10" borderId="93" xfId="0" applyNumberFormat="1" applyFont="1" applyFill="1" applyBorder="1" applyAlignment="1" applyProtection="1">
      <alignment vertical="center"/>
      <protection/>
    </xf>
    <xf numFmtId="186" fontId="13" fillId="10" borderId="97" xfId="0" applyNumberFormat="1" applyFont="1" applyFill="1" applyBorder="1" applyAlignment="1" applyProtection="1">
      <alignment vertical="center"/>
      <protection/>
    </xf>
    <xf numFmtId="186" fontId="13" fillId="10" borderId="98" xfId="0" applyNumberFormat="1" applyFont="1" applyFill="1" applyBorder="1" applyAlignment="1" applyProtection="1">
      <alignment vertical="center"/>
      <protection/>
    </xf>
    <xf numFmtId="0" fontId="33" fillId="32" borderId="0" xfId="0" applyNumberFormat="1" applyFont="1" applyFill="1" applyBorder="1" applyAlignment="1" applyProtection="1">
      <alignment vertical="center"/>
      <protection/>
    </xf>
    <xf numFmtId="0" fontId="13" fillId="35" borderId="64" xfId="0" applyFont="1" applyFill="1" applyBorder="1" applyAlignment="1" applyProtection="1">
      <alignment horizontal="center" vertical="center"/>
      <protection/>
    </xf>
    <xf numFmtId="0" fontId="13" fillId="35" borderId="61" xfId="0" applyFont="1" applyFill="1" applyBorder="1" applyAlignment="1" applyProtection="1">
      <alignment horizontal="center" vertical="center"/>
      <protection/>
    </xf>
    <xf numFmtId="0" fontId="13" fillId="35" borderId="62" xfId="0" applyFont="1" applyFill="1" applyBorder="1" applyAlignment="1" applyProtection="1">
      <alignment vertical="center"/>
      <protection/>
    </xf>
    <xf numFmtId="0" fontId="13" fillId="35" borderId="67" xfId="0" applyFont="1" applyFill="1" applyBorder="1" applyAlignment="1" applyProtection="1">
      <alignment horizontal="center" vertical="center"/>
      <protection/>
    </xf>
    <xf numFmtId="0" fontId="13" fillId="35" borderId="72" xfId="0" applyFont="1" applyFill="1" applyBorder="1" applyAlignment="1" applyProtection="1">
      <alignment horizontal="center" vertical="center"/>
      <protection/>
    </xf>
    <xf numFmtId="0" fontId="0" fillId="10" borderId="80" xfId="0" applyFill="1" applyBorder="1" applyAlignment="1" applyProtection="1">
      <alignment vertical="center"/>
      <protection/>
    </xf>
    <xf numFmtId="0" fontId="0" fillId="10" borderId="80" xfId="0" applyFill="1" applyBorder="1" applyAlignment="1" applyProtection="1">
      <alignment vertical="center" wrapText="1"/>
      <protection/>
    </xf>
    <xf numFmtId="0" fontId="34" fillId="10" borderId="0" xfId="0" applyFont="1" applyFill="1" applyAlignment="1" applyProtection="1">
      <alignment vertical="center"/>
      <protection/>
    </xf>
    <xf numFmtId="0" fontId="18" fillId="32" borderId="0" xfId="0" applyFont="1" applyFill="1" applyAlignment="1">
      <alignment vertical="center"/>
    </xf>
    <xf numFmtId="190" fontId="9" fillId="32" borderId="99" xfId="0" applyNumberFormat="1" applyFont="1" applyFill="1" applyBorder="1" applyAlignment="1" applyProtection="1">
      <alignment horizontal="center" vertical="center" shrinkToFit="1"/>
      <protection/>
    </xf>
    <xf numFmtId="189" fontId="9" fillId="32" borderId="100" xfId="0" applyNumberFormat="1" applyFont="1" applyFill="1" applyBorder="1" applyAlignment="1" applyProtection="1">
      <alignment horizontal="center" vertical="center" shrinkToFit="1"/>
      <protection/>
    </xf>
    <xf numFmtId="49" fontId="1" fillId="0" borderId="0" xfId="0" applyNumberFormat="1" applyFont="1" applyFill="1" applyBorder="1" applyAlignment="1" applyProtection="1">
      <alignment vertical="center"/>
      <protection/>
    </xf>
    <xf numFmtId="204" fontId="1" fillId="0" borderId="0" xfId="0" applyNumberFormat="1" applyFont="1" applyFill="1" applyAlignment="1" applyProtection="1">
      <alignment vertical="center"/>
      <protection locked="0"/>
    </xf>
    <xf numFmtId="0" fontId="1" fillId="0" borderId="0" xfId="0" applyNumberFormat="1" applyFont="1" applyFill="1" applyAlignment="1" applyProtection="1">
      <alignment horizontal="left" vertical="center"/>
      <protection locked="0"/>
    </xf>
    <xf numFmtId="0" fontId="0" fillId="0" borderId="0" xfId="0" applyFill="1" applyBorder="1" applyAlignment="1" applyProtection="1">
      <alignment vertical="center"/>
      <protection/>
    </xf>
    <xf numFmtId="49" fontId="1" fillId="32" borderId="0" xfId="0" applyNumberFormat="1" applyFont="1" applyFill="1" applyAlignment="1">
      <alignment vertical="center"/>
    </xf>
    <xf numFmtId="49" fontId="89" fillId="32" borderId="0" xfId="0" applyNumberFormat="1" applyFont="1" applyFill="1" applyBorder="1" applyAlignment="1" applyProtection="1">
      <alignment vertical="center"/>
      <protection/>
    </xf>
    <xf numFmtId="199" fontId="1" fillId="32" borderId="101" xfId="0" applyNumberFormat="1" applyFont="1" applyFill="1" applyBorder="1" applyAlignment="1" applyProtection="1">
      <alignment horizontal="right" vertical="center"/>
      <protection locked="0"/>
    </xf>
    <xf numFmtId="199" fontId="1" fillId="32" borderId="102" xfId="0" applyNumberFormat="1" applyFont="1" applyFill="1" applyBorder="1" applyAlignment="1" applyProtection="1">
      <alignment horizontal="right" vertical="center"/>
      <protection locked="0"/>
    </xf>
    <xf numFmtId="199" fontId="1" fillId="32" borderId="103" xfId="0" applyNumberFormat="1" applyFont="1" applyFill="1" applyBorder="1" applyAlignment="1" applyProtection="1">
      <alignment horizontal="right" vertical="center"/>
      <protection locked="0"/>
    </xf>
    <xf numFmtId="0" fontId="13" fillId="10" borderId="81" xfId="0" applyFont="1" applyFill="1" applyBorder="1" applyAlignment="1" applyProtection="1">
      <alignment horizontal="center" vertical="center"/>
      <protection/>
    </xf>
    <xf numFmtId="0" fontId="35" fillId="10" borderId="0" xfId="0" applyFont="1" applyFill="1" applyAlignment="1" applyProtection="1">
      <alignment vertical="center" wrapText="1"/>
      <protection/>
    </xf>
    <xf numFmtId="0" fontId="36" fillId="0" borderId="0" xfId="0" applyFont="1" applyAlignment="1">
      <alignment vertical="center"/>
    </xf>
    <xf numFmtId="49" fontId="5" fillId="32" borderId="0" xfId="0" applyNumberFormat="1" applyFont="1" applyFill="1" applyBorder="1" applyAlignment="1" applyProtection="1">
      <alignment vertical="top" wrapText="1"/>
      <protection/>
    </xf>
    <xf numFmtId="49" fontId="5" fillId="32" borderId="23" xfId="0" applyNumberFormat="1" applyFont="1" applyFill="1" applyBorder="1" applyAlignment="1" applyProtection="1">
      <alignment horizontal="center" vertical="center"/>
      <protection/>
    </xf>
    <xf numFmtId="49" fontId="5" fillId="32" borderId="24" xfId="0" applyNumberFormat="1" applyFont="1" applyFill="1" applyBorder="1" applyAlignment="1" applyProtection="1">
      <alignment horizontal="center" vertical="center"/>
      <protection/>
    </xf>
    <xf numFmtId="49" fontId="5" fillId="32" borderId="16" xfId="0" applyNumberFormat="1" applyFont="1" applyFill="1" applyBorder="1" applyAlignment="1" applyProtection="1">
      <alignment horizontal="center" vertical="center"/>
      <protection/>
    </xf>
    <xf numFmtId="49" fontId="5" fillId="32" borderId="17" xfId="0" applyNumberFormat="1" applyFont="1" applyFill="1" applyBorder="1" applyAlignment="1" applyProtection="1">
      <alignment horizontal="center" vertical="center"/>
      <protection/>
    </xf>
    <xf numFmtId="49" fontId="5" fillId="32" borderId="29" xfId="0" applyNumberFormat="1" applyFont="1" applyFill="1" applyBorder="1" applyAlignment="1" applyProtection="1">
      <alignment horizontal="left" vertical="center"/>
      <protection/>
    </xf>
    <xf numFmtId="49" fontId="5" fillId="32" borderId="0" xfId="0" applyNumberFormat="1" applyFont="1" applyFill="1" applyBorder="1" applyAlignment="1" applyProtection="1">
      <alignment vertical="center"/>
      <protection/>
    </xf>
    <xf numFmtId="49" fontId="5" fillId="32" borderId="104" xfId="0" applyNumberFormat="1" applyFont="1" applyFill="1" applyBorder="1" applyAlignment="1" applyProtection="1">
      <alignment horizontal="center" vertical="center"/>
      <protection/>
    </xf>
    <xf numFmtId="49" fontId="5" fillId="32" borderId="105" xfId="0" applyNumberFormat="1" applyFont="1" applyFill="1" applyBorder="1" applyAlignment="1" applyProtection="1">
      <alignment horizontal="center" vertical="center"/>
      <protection/>
    </xf>
    <xf numFmtId="49" fontId="5" fillId="32" borderId="106" xfId="0" applyNumberFormat="1" applyFont="1" applyFill="1" applyBorder="1" applyAlignment="1" applyProtection="1">
      <alignment horizontal="center" vertical="center"/>
      <protection/>
    </xf>
    <xf numFmtId="49" fontId="5" fillId="32" borderId="107" xfId="0" applyNumberFormat="1" applyFont="1" applyFill="1" applyBorder="1" applyAlignment="1" applyProtection="1">
      <alignment horizontal="center" vertical="center"/>
      <protection/>
    </xf>
    <xf numFmtId="49" fontId="5" fillId="32" borderId="14" xfId="0" applyNumberFormat="1" applyFont="1" applyFill="1" applyBorder="1" applyAlignment="1" applyProtection="1">
      <alignment horizontal="center" vertical="center"/>
      <protection/>
    </xf>
    <xf numFmtId="49" fontId="5" fillId="32" borderId="15" xfId="0" applyNumberFormat="1" applyFont="1" applyFill="1" applyBorder="1" applyAlignment="1" applyProtection="1">
      <alignment horizontal="center" vertical="center"/>
      <protection/>
    </xf>
    <xf numFmtId="49" fontId="5" fillId="32" borderId="108" xfId="0" applyNumberFormat="1" applyFont="1" applyFill="1" applyBorder="1" applyAlignment="1" applyProtection="1">
      <alignment horizontal="center" vertical="center"/>
      <protection/>
    </xf>
    <xf numFmtId="49" fontId="5" fillId="32" borderId="25" xfId="0" applyNumberFormat="1" applyFont="1" applyFill="1" applyBorder="1" applyAlignment="1" applyProtection="1">
      <alignment horizontal="center" vertical="center"/>
      <protection/>
    </xf>
    <xf numFmtId="49" fontId="5" fillId="32" borderId="12" xfId="0" applyNumberFormat="1" applyFont="1" applyFill="1" applyBorder="1" applyAlignment="1" applyProtection="1">
      <alignment horizontal="center" vertical="center"/>
      <protection/>
    </xf>
    <xf numFmtId="49" fontId="5" fillId="32" borderId="26" xfId="0" applyNumberFormat="1" applyFont="1" applyFill="1" applyBorder="1" applyAlignment="1" applyProtection="1">
      <alignment horizontal="center" vertical="center"/>
      <protection/>
    </xf>
    <xf numFmtId="181" fontId="1" fillId="32" borderId="109" xfId="0" applyNumberFormat="1" applyFont="1" applyFill="1" applyBorder="1" applyAlignment="1" applyProtection="1">
      <alignment horizontal="right" vertical="center"/>
      <protection/>
    </xf>
    <xf numFmtId="181" fontId="1" fillId="32" borderId="28" xfId="0" applyNumberFormat="1" applyFont="1" applyFill="1" applyBorder="1" applyAlignment="1" applyProtection="1">
      <alignment horizontal="right" vertical="center"/>
      <protection/>
    </xf>
    <xf numFmtId="181" fontId="1" fillId="32" borderId="110" xfId="0" applyNumberFormat="1" applyFont="1" applyFill="1" applyBorder="1" applyAlignment="1" applyProtection="1">
      <alignment horizontal="right" vertical="center"/>
      <protection/>
    </xf>
    <xf numFmtId="49" fontId="5" fillId="32" borderId="39" xfId="0" applyNumberFormat="1" applyFont="1" applyFill="1" applyBorder="1" applyAlignment="1" applyProtection="1">
      <alignment horizontal="center" vertical="center"/>
      <protection/>
    </xf>
    <xf numFmtId="49" fontId="5" fillId="32" borderId="40" xfId="0" applyNumberFormat="1" applyFont="1" applyFill="1" applyBorder="1" applyAlignment="1" applyProtection="1">
      <alignment horizontal="center" vertical="center"/>
      <protection/>
    </xf>
    <xf numFmtId="49" fontId="5" fillId="32" borderId="30" xfId="0" applyNumberFormat="1" applyFont="1" applyFill="1" applyBorder="1" applyAlignment="1" applyProtection="1">
      <alignment horizontal="center" vertical="center"/>
      <protection/>
    </xf>
    <xf numFmtId="0" fontId="13" fillId="35" borderId="81" xfId="0" applyFont="1" applyFill="1" applyBorder="1" applyAlignment="1" applyProtection="1">
      <alignment horizontal="center" vertical="center"/>
      <protection/>
    </xf>
    <xf numFmtId="189" fontId="9" fillId="32" borderId="100" xfId="0" applyNumberFormat="1" applyFont="1" applyFill="1" applyBorder="1" applyAlignment="1" applyProtection="1">
      <alignment horizontal="center" vertical="center"/>
      <protection locked="0"/>
    </xf>
    <xf numFmtId="0" fontId="9" fillId="32" borderId="25" xfId="0" applyNumberFormat="1" applyFont="1" applyFill="1" applyBorder="1" applyAlignment="1" applyProtection="1">
      <alignment horizontal="right" vertical="top"/>
      <protection/>
    </xf>
    <xf numFmtId="0" fontId="9" fillId="32" borderId="12" xfId="0" applyNumberFormat="1" applyFont="1" applyFill="1" applyBorder="1" applyAlignment="1" applyProtection="1">
      <alignment horizontal="right" vertical="top"/>
      <protection/>
    </xf>
    <xf numFmtId="0" fontId="9" fillId="32" borderId="104" xfId="0" applyNumberFormat="1" applyFont="1" applyFill="1" applyBorder="1" applyAlignment="1" applyProtection="1">
      <alignment horizontal="right" vertical="top"/>
      <protection/>
    </xf>
    <xf numFmtId="176" fontId="1" fillId="32" borderId="111" xfId="0" applyNumberFormat="1" applyFont="1" applyFill="1" applyBorder="1" applyAlignment="1" applyProtection="1">
      <alignment horizontal="right" vertical="center"/>
      <protection locked="0"/>
    </xf>
    <xf numFmtId="176" fontId="1" fillId="32" borderId="29" xfId="0" applyNumberFormat="1" applyFont="1" applyFill="1" applyBorder="1" applyAlignment="1" applyProtection="1">
      <alignment horizontal="right" vertical="center"/>
      <protection locked="0"/>
    </xf>
    <xf numFmtId="176" fontId="1" fillId="32" borderId="112" xfId="0" applyNumberFormat="1" applyFont="1" applyFill="1" applyBorder="1" applyAlignment="1" applyProtection="1">
      <alignment horizontal="right" vertical="center"/>
      <protection locked="0"/>
    </xf>
    <xf numFmtId="49" fontId="5" fillId="32" borderId="28" xfId="0" applyNumberFormat="1" applyFont="1" applyFill="1" applyBorder="1" applyAlignment="1" applyProtection="1">
      <alignment horizontal="distributed" vertical="center" wrapText="1"/>
      <protection/>
    </xf>
    <xf numFmtId="181" fontId="1" fillId="32" borderId="24" xfId="0" applyNumberFormat="1" applyFont="1" applyFill="1" applyBorder="1" applyAlignment="1" applyProtection="1">
      <alignment horizontal="right" vertical="center"/>
      <protection/>
    </xf>
    <xf numFmtId="181" fontId="1" fillId="32" borderId="109" xfId="0" applyNumberFormat="1" applyFont="1" applyFill="1" applyBorder="1" applyAlignment="1" applyProtection="1">
      <alignment vertical="center"/>
      <protection/>
    </xf>
    <xf numFmtId="181" fontId="1" fillId="32" borderId="28" xfId="0" applyNumberFormat="1" applyFont="1" applyFill="1" applyBorder="1" applyAlignment="1" applyProtection="1">
      <alignment vertical="center"/>
      <protection/>
    </xf>
    <xf numFmtId="181" fontId="1" fillId="32" borderId="110" xfId="0" applyNumberFormat="1" applyFont="1" applyFill="1" applyBorder="1" applyAlignment="1" applyProtection="1">
      <alignment vertical="center"/>
      <protection/>
    </xf>
    <xf numFmtId="49" fontId="5" fillId="32" borderId="15" xfId="0" applyNumberFormat="1" applyFont="1" applyFill="1" applyBorder="1" applyAlignment="1" applyProtection="1">
      <alignment horizontal="left" vertical="center"/>
      <protection/>
    </xf>
    <xf numFmtId="49" fontId="1" fillId="32" borderId="0" xfId="0" applyNumberFormat="1" applyFont="1" applyFill="1" applyBorder="1" applyAlignment="1" applyProtection="1">
      <alignment vertical="center"/>
      <protection/>
    </xf>
    <xf numFmtId="179" fontId="1" fillId="32" borderId="113" xfId="0" applyNumberFormat="1" applyFont="1" applyFill="1" applyBorder="1" applyAlignment="1" applyProtection="1">
      <alignment horizontal="right" vertical="center" shrinkToFit="1"/>
      <protection locked="0"/>
    </xf>
    <xf numFmtId="179" fontId="1" fillId="32" borderId="114" xfId="0" applyNumberFormat="1" applyFont="1" applyFill="1" applyBorder="1" applyAlignment="1" applyProtection="1">
      <alignment horizontal="right" vertical="center" shrinkToFit="1"/>
      <protection locked="0"/>
    </xf>
    <xf numFmtId="179" fontId="1" fillId="32" borderId="115" xfId="0" applyNumberFormat="1" applyFont="1" applyFill="1" applyBorder="1" applyAlignment="1" applyProtection="1">
      <alignment horizontal="right" vertical="center" shrinkToFit="1"/>
      <protection locked="0"/>
    </xf>
    <xf numFmtId="181" fontId="1" fillId="32" borderId="116" xfId="0" applyNumberFormat="1" applyFont="1" applyFill="1" applyBorder="1" applyAlignment="1" applyProtection="1">
      <alignment horizontal="right" vertical="center"/>
      <protection/>
    </xf>
    <xf numFmtId="179" fontId="1" fillId="32" borderId="113" xfId="0" applyNumberFormat="1" applyFont="1" applyFill="1" applyBorder="1" applyAlignment="1" applyProtection="1">
      <alignment horizontal="right" vertical="center"/>
      <protection locked="0"/>
    </xf>
    <xf numFmtId="179" fontId="1" fillId="32" borderId="114" xfId="0" applyNumberFormat="1" applyFont="1" applyFill="1" applyBorder="1" applyAlignment="1" applyProtection="1">
      <alignment horizontal="right" vertical="center"/>
      <protection locked="0"/>
    </xf>
    <xf numFmtId="179" fontId="1" fillId="32" borderId="115" xfId="0" applyNumberFormat="1" applyFont="1" applyFill="1" applyBorder="1" applyAlignment="1" applyProtection="1">
      <alignment horizontal="right" vertical="center"/>
      <protection locked="0"/>
    </xf>
    <xf numFmtId="199" fontId="1" fillId="32" borderId="113" xfId="0" applyNumberFormat="1" applyFont="1" applyFill="1" applyBorder="1" applyAlignment="1" applyProtection="1">
      <alignment horizontal="right" vertical="center"/>
      <protection locked="0"/>
    </xf>
    <xf numFmtId="199" fontId="1" fillId="32" borderId="114" xfId="0" applyNumberFormat="1" applyFont="1" applyFill="1" applyBorder="1" applyAlignment="1" applyProtection="1">
      <alignment horizontal="right" vertical="center"/>
      <protection locked="0"/>
    </xf>
    <xf numFmtId="199" fontId="1" fillId="32" borderId="115" xfId="0" applyNumberFormat="1" applyFont="1" applyFill="1" applyBorder="1" applyAlignment="1" applyProtection="1">
      <alignment horizontal="right" vertical="center"/>
      <protection locked="0"/>
    </xf>
    <xf numFmtId="0" fontId="9" fillId="32" borderId="25" xfId="0" applyNumberFormat="1" applyFont="1" applyFill="1" applyBorder="1" applyAlignment="1" applyProtection="1">
      <alignment horizontal="right" vertical="center"/>
      <protection/>
    </xf>
    <xf numFmtId="0" fontId="9" fillId="32" borderId="12" xfId="0" applyNumberFormat="1" applyFont="1" applyFill="1" applyBorder="1" applyAlignment="1" applyProtection="1">
      <alignment horizontal="right" vertical="center"/>
      <protection/>
    </xf>
    <xf numFmtId="0" fontId="9" fillId="32" borderId="104" xfId="0" applyNumberFormat="1" applyFont="1" applyFill="1" applyBorder="1" applyAlignment="1" applyProtection="1">
      <alignment horizontal="right" vertical="center"/>
      <protection/>
    </xf>
    <xf numFmtId="49" fontId="5" fillId="32" borderId="117" xfId="0" applyNumberFormat="1" applyFont="1" applyFill="1" applyBorder="1" applyAlignment="1" applyProtection="1">
      <alignment horizontal="center" vertical="center"/>
      <protection/>
    </xf>
    <xf numFmtId="49" fontId="5" fillId="32" borderId="25" xfId="0" applyNumberFormat="1" applyFont="1" applyFill="1" applyBorder="1" applyAlignment="1" applyProtection="1">
      <alignment horizontal="center" vertical="center" textRotation="255" wrapText="1"/>
      <protection/>
    </xf>
    <xf numFmtId="49" fontId="5" fillId="32" borderId="104" xfId="0" applyNumberFormat="1" applyFont="1" applyFill="1" applyBorder="1" applyAlignment="1" applyProtection="1">
      <alignment horizontal="center" vertical="center" textRotation="255" wrapText="1"/>
      <protection/>
    </xf>
    <xf numFmtId="49" fontId="5" fillId="32" borderId="18" xfId="0" applyNumberFormat="1" applyFont="1" applyFill="1" applyBorder="1" applyAlignment="1" applyProtection="1">
      <alignment horizontal="center" vertical="center" textRotation="255" wrapText="1"/>
      <protection/>
    </xf>
    <xf numFmtId="49" fontId="5" fillId="32" borderId="118" xfId="0" applyNumberFormat="1" applyFont="1" applyFill="1" applyBorder="1" applyAlignment="1" applyProtection="1">
      <alignment horizontal="center" vertical="center" textRotation="255" wrapText="1"/>
      <protection/>
    </xf>
    <xf numFmtId="49" fontId="5" fillId="32" borderId="39" xfId="0" applyNumberFormat="1" applyFont="1" applyFill="1" applyBorder="1" applyAlignment="1" applyProtection="1">
      <alignment horizontal="center" vertical="center" textRotation="255" wrapText="1"/>
      <protection/>
    </xf>
    <xf numFmtId="49" fontId="5" fillId="32" borderId="117" xfId="0" applyNumberFormat="1" applyFont="1" applyFill="1" applyBorder="1" applyAlignment="1" applyProtection="1">
      <alignment horizontal="center" vertical="center" textRotation="255" wrapText="1"/>
      <protection/>
    </xf>
    <xf numFmtId="189" fontId="1" fillId="32" borderId="28" xfId="0" applyNumberFormat="1" applyFont="1" applyFill="1" applyBorder="1" applyAlignment="1" applyProtection="1">
      <alignment horizontal="right" vertical="center"/>
      <protection/>
    </xf>
    <xf numFmtId="189" fontId="1" fillId="32" borderId="110" xfId="0" applyNumberFormat="1" applyFont="1" applyFill="1" applyBorder="1" applyAlignment="1" applyProtection="1">
      <alignment horizontal="right" vertical="center"/>
      <protection/>
    </xf>
    <xf numFmtId="186" fontId="1" fillId="32" borderId="111" xfId="0" applyNumberFormat="1" applyFont="1" applyFill="1" applyBorder="1" applyAlignment="1" applyProtection="1">
      <alignment horizontal="right" vertical="center"/>
      <protection locked="0"/>
    </xf>
    <xf numFmtId="186" fontId="1" fillId="32" borderId="29" xfId="0" applyNumberFormat="1" applyFont="1" applyFill="1" applyBorder="1" applyAlignment="1" applyProtection="1">
      <alignment horizontal="right" vertical="center"/>
      <protection locked="0"/>
    </xf>
    <xf numFmtId="186" fontId="1" fillId="32" borderId="112" xfId="0" applyNumberFormat="1" applyFont="1" applyFill="1" applyBorder="1" applyAlignment="1" applyProtection="1">
      <alignment horizontal="right" vertical="center"/>
      <protection locked="0"/>
    </xf>
    <xf numFmtId="49" fontId="5" fillId="32" borderId="17" xfId="0" applyNumberFormat="1" applyFont="1" applyFill="1" applyBorder="1" applyAlignment="1" applyProtection="1">
      <alignment horizontal="left" vertical="center"/>
      <protection/>
    </xf>
    <xf numFmtId="181" fontId="1" fillId="32" borderId="40" xfId="0" applyNumberFormat="1" applyFont="1" applyFill="1" applyBorder="1" applyAlignment="1" applyProtection="1">
      <alignment horizontal="right" vertical="center"/>
      <protection/>
    </xf>
    <xf numFmtId="186" fontId="1" fillId="32" borderId="101" xfId="0" applyNumberFormat="1" applyFont="1" applyFill="1" applyBorder="1" applyAlignment="1" applyProtection="1">
      <alignment horizontal="right" vertical="center"/>
      <protection locked="0"/>
    </xf>
    <xf numFmtId="186" fontId="1" fillId="32" borderId="102" xfId="0" applyNumberFormat="1" applyFont="1" applyFill="1" applyBorder="1" applyAlignment="1" applyProtection="1">
      <alignment horizontal="right" vertical="center"/>
      <protection locked="0"/>
    </xf>
    <xf numFmtId="186" fontId="1" fillId="32" borderId="103" xfId="0" applyNumberFormat="1" applyFont="1" applyFill="1" applyBorder="1" applyAlignment="1" applyProtection="1">
      <alignment horizontal="right" vertical="center"/>
      <protection locked="0"/>
    </xf>
    <xf numFmtId="186" fontId="1" fillId="32" borderId="119" xfId="0" applyNumberFormat="1" applyFont="1" applyFill="1" applyBorder="1" applyAlignment="1" applyProtection="1">
      <alignment horizontal="right" vertical="center"/>
      <protection locked="0"/>
    </xf>
    <xf numFmtId="186" fontId="1" fillId="32" borderId="120" xfId="0" applyNumberFormat="1" applyFont="1" applyFill="1" applyBorder="1" applyAlignment="1" applyProtection="1">
      <alignment horizontal="right" vertical="center"/>
      <protection locked="0"/>
    </xf>
    <xf numFmtId="186" fontId="1" fillId="32" borderId="121" xfId="0" applyNumberFormat="1" applyFont="1" applyFill="1" applyBorder="1" applyAlignment="1" applyProtection="1">
      <alignment horizontal="right" vertical="center"/>
      <protection locked="0"/>
    </xf>
    <xf numFmtId="49" fontId="5" fillId="32" borderId="122" xfId="0" applyNumberFormat="1" applyFont="1" applyFill="1" applyBorder="1" applyAlignment="1" applyProtection="1">
      <alignment horizontal="left" vertical="center" wrapText="1"/>
      <protection/>
    </xf>
    <xf numFmtId="49" fontId="5" fillId="32" borderId="123" xfId="0" applyNumberFormat="1" applyFont="1" applyFill="1" applyBorder="1" applyAlignment="1" applyProtection="1">
      <alignment horizontal="left" vertical="center"/>
      <protection/>
    </xf>
    <xf numFmtId="49" fontId="5" fillId="32" borderId="124" xfId="0" applyNumberFormat="1" applyFont="1" applyFill="1" applyBorder="1" applyAlignment="1" applyProtection="1">
      <alignment horizontal="left" vertical="center"/>
      <protection/>
    </xf>
    <xf numFmtId="49" fontId="5" fillId="32" borderId="125" xfId="0" applyNumberFormat="1" applyFont="1" applyFill="1" applyBorder="1" applyAlignment="1" applyProtection="1">
      <alignment horizontal="left" vertical="center"/>
      <protection/>
    </xf>
    <xf numFmtId="49" fontId="5" fillId="32" borderId="126" xfId="0" applyNumberFormat="1" applyFont="1" applyFill="1" applyBorder="1" applyAlignment="1" applyProtection="1">
      <alignment horizontal="left" vertical="center"/>
      <protection/>
    </xf>
    <xf numFmtId="49" fontId="5" fillId="32" borderId="127" xfId="0" applyNumberFormat="1" applyFont="1" applyFill="1" applyBorder="1" applyAlignment="1" applyProtection="1">
      <alignment horizontal="left" vertical="center"/>
      <protection/>
    </xf>
    <xf numFmtId="49" fontId="5" fillId="32" borderId="0" xfId="0" applyNumberFormat="1" applyFont="1" applyFill="1" applyBorder="1" applyAlignment="1" applyProtection="1">
      <alignment vertical="center" wrapText="1"/>
      <protection/>
    </xf>
    <xf numFmtId="49" fontId="1" fillId="32" borderId="10" xfId="0" applyNumberFormat="1" applyFont="1" applyFill="1" applyBorder="1" applyAlignment="1" applyProtection="1">
      <alignment horizontal="distributed" vertical="center"/>
      <protection/>
    </xf>
    <xf numFmtId="49" fontId="1" fillId="32" borderId="29" xfId="0" applyNumberFormat="1" applyFont="1" applyFill="1" applyBorder="1" applyAlignment="1" applyProtection="1">
      <alignment horizontal="distributed" vertical="center"/>
      <protection/>
    </xf>
    <xf numFmtId="0" fontId="5" fillId="32" borderId="0" xfId="0" applyFont="1" applyFill="1" applyAlignment="1" applyProtection="1">
      <alignment vertical="center" wrapText="1"/>
      <protection/>
    </xf>
    <xf numFmtId="0" fontId="5" fillId="32" borderId="0" xfId="0" applyFont="1" applyFill="1" applyAlignment="1" applyProtection="1">
      <alignment vertical="center"/>
      <protection/>
    </xf>
    <xf numFmtId="186" fontId="1" fillId="32" borderId="128" xfId="0" applyNumberFormat="1" applyFont="1" applyFill="1" applyBorder="1" applyAlignment="1" applyProtection="1">
      <alignment vertical="center"/>
      <protection/>
    </xf>
    <xf numFmtId="186" fontId="1" fillId="32" borderId="129" xfId="0" applyNumberFormat="1" applyFont="1" applyFill="1" applyBorder="1" applyAlignment="1" applyProtection="1">
      <alignment vertical="center"/>
      <protection/>
    </xf>
    <xf numFmtId="186" fontId="1" fillId="32" borderId="113" xfId="0" applyNumberFormat="1" applyFont="1" applyFill="1" applyBorder="1" applyAlignment="1" applyProtection="1">
      <alignment horizontal="right" vertical="center"/>
      <protection locked="0"/>
    </xf>
    <xf numFmtId="186" fontId="1" fillId="32" borderId="114" xfId="0" applyNumberFormat="1" applyFont="1" applyFill="1" applyBorder="1" applyAlignment="1" applyProtection="1">
      <alignment horizontal="right" vertical="center"/>
      <protection locked="0"/>
    </xf>
    <xf numFmtId="186" fontId="1" fillId="32" borderId="115" xfId="0" applyNumberFormat="1" applyFont="1" applyFill="1" applyBorder="1" applyAlignment="1" applyProtection="1">
      <alignment horizontal="right" vertical="center"/>
      <protection locked="0"/>
    </xf>
    <xf numFmtId="49" fontId="1" fillId="32" borderId="25" xfId="0" applyNumberFormat="1" applyFont="1" applyFill="1" applyBorder="1" applyAlignment="1" applyProtection="1">
      <alignment horizontal="center" vertical="center"/>
      <protection/>
    </xf>
    <xf numFmtId="49" fontId="1" fillId="32" borderId="12" xfId="0" applyNumberFormat="1" applyFont="1" applyFill="1" applyBorder="1" applyAlignment="1" applyProtection="1">
      <alignment horizontal="center" vertical="center"/>
      <protection/>
    </xf>
    <xf numFmtId="49" fontId="1" fillId="32" borderId="39" xfId="0" applyNumberFormat="1" applyFont="1" applyFill="1" applyBorder="1" applyAlignment="1" applyProtection="1">
      <alignment horizontal="center" vertical="center"/>
      <protection/>
    </xf>
    <xf numFmtId="49" fontId="1" fillId="32" borderId="40" xfId="0" applyNumberFormat="1" applyFont="1" applyFill="1" applyBorder="1" applyAlignment="1" applyProtection="1">
      <alignment horizontal="center" vertical="center"/>
      <protection/>
    </xf>
    <xf numFmtId="49" fontId="9" fillId="32" borderId="17" xfId="0" applyNumberFormat="1" applyFont="1" applyFill="1" applyBorder="1" applyAlignment="1" applyProtection="1">
      <alignment horizontal="left" vertical="center"/>
      <protection/>
    </xf>
    <xf numFmtId="49" fontId="9" fillId="32" borderId="32" xfId="0" applyNumberFormat="1" applyFont="1" applyFill="1" applyBorder="1" applyAlignment="1" applyProtection="1">
      <alignment horizontal="left" vertical="center"/>
      <protection/>
    </xf>
    <xf numFmtId="0" fontId="5" fillId="32" borderId="82" xfId="0" applyNumberFormat="1" applyFont="1" applyFill="1" applyBorder="1" applyAlignment="1" applyProtection="1">
      <alignment horizontal="center" vertical="center"/>
      <protection locked="0"/>
    </xf>
    <xf numFmtId="0" fontId="5" fillId="32" borderId="29" xfId="0" applyNumberFormat="1" applyFont="1" applyFill="1" applyBorder="1" applyAlignment="1" applyProtection="1">
      <alignment horizontal="center" vertical="center"/>
      <protection locked="0"/>
    </xf>
    <xf numFmtId="49" fontId="5" fillId="32" borderId="82" xfId="0" applyNumberFormat="1" applyFont="1" applyFill="1" applyBorder="1" applyAlignment="1">
      <alignment vertical="center"/>
    </xf>
    <xf numFmtId="49" fontId="5" fillId="32" borderId="29" xfId="0" applyNumberFormat="1" applyFont="1" applyFill="1" applyBorder="1" applyAlignment="1">
      <alignment vertical="center"/>
    </xf>
    <xf numFmtId="49" fontId="5" fillId="32" borderId="130" xfId="0" applyNumberFormat="1" applyFont="1" applyFill="1" applyBorder="1" applyAlignment="1">
      <alignment vertical="center"/>
    </xf>
    <xf numFmtId="49" fontId="5" fillId="32" borderId="82" xfId="0" applyNumberFormat="1" applyFont="1" applyFill="1" applyBorder="1" applyAlignment="1">
      <alignment vertical="center" wrapText="1"/>
    </xf>
    <xf numFmtId="49" fontId="5" fillId="32" borderId="29" xfId="0" applyNumberFormat="1" applyFont="1" applyFill="1" applyBorder="1" applyAlignment="1">
      <alignment vertical="center" wrapText="1"/>
    </xf>
    <xf numFmtId="49" fontId="5" fillId="32" borderId="130" xfId="0" applyNumberFormat="1" applyFont="1" applyFill="1" applyBorder="1" applyAlignment="1">
      <alignment vertical="center" wrapText="1"/>
    </xf>
    <xf numFmtId="49" fontId="5" fillId="32" borderId="13" xfId="0" applyNumberFormat="1" applyFont="1" applyFill="1" applyBorder="1" applyAlignment="1" applyProtection="1">
      <alignment vertical="top"/>
      <protection locked="0"/>
    </xf>
    <xf numFmtId="49" fontId="5" fillId="32" borderId="28" xfId="0" applyNumberFormat="1" applyFont="1" applyFill="1" applyBorder="1" applyAlignment="1" applyProtection="1">
      <alignment vertical="top"/>
      <protection locked="0"/>
    </xf>
    <xf numFmtId="49" fontId="5" fillId="32" borderId="131" xfId="0" applyNumberFormat="1" applyFont="1" applyFill="1" applyBorder="1" applyAlignment="1" applyProtection="1">
      <alignment vertical="top"/>
      <protection locked="0"/>
    </xf>
    <xf numFmtId="49" fontId="5" fillId="32" borderId="14" xfId="0" applyNumberFormat="1" applyFont="1" applyFill="1" applyBorder="1" applyAlignment="1" applyProtection="1">
      <alignment vertical="top"/>
      <protection/>
    </xf>
    <xf numFmtId="49" fontId="5" fillId="32" borderId="15" xfId="0" applyNumberFormat="1" applyFont="1" applyFill="1" applyBorder="1" applyAlignment="1" applyProtection="1">
      <alignment vertical="top"/>
      <protection/>
    </xf>
    <xf numFmtId="49" fontId="5" fillId="32" borderId="132" xfId="0" applyNumberFormat="1" applyFont="1" applyFill="1" applyBorder="1" applyAlignment="1" applyProtection="1">
      <alignment vertical="top"/>
      <protection/>
    </xf>
    <xf numFmtId="0" fontId="9" fillId="32" borderId="10" xfId="0" applyNumberFormat="1" applyFont="1" applyFill="1" applyBorder="1" applyAlignment="1" applyProtection="1">
      <alignment horizontal="center" vertical="center"/>
      <protection/>
    </xf>
    <xf numFmtId="0" fontId="9" fillId="32" borderId="83" xfId="0" applyNumberFormat="1" applyFont="1" applyFill="1" applyBorder="1" applyAlignment="1" applyProtection="1">
      <alignment horizontal="center" vertical="center"/>
      <protection/>
    </xf>
    <xf numFmtId="49" fontId="9" fillId="32" borderId="29" xfId="0" applyNumberFormat="1" applyFont="1" applyFill="1" applyBorder="1" applyAlignment="1" applyProtection="1">
      <alignment horizontal="left" vertical="center"/>
      <protection/>
    </xf>
    <xf numFmtId="49" fontId="9" fillId="32" borderId="133" xfId="0" applyNumberFormat="1" applyFont="1" applyFill="1" applyBorder="1" applyAlignment="1" applyProtection="1">
      <alignment horizontal="left" vertical="center"/>
      <protection/>
    </xf>
    <xf numFmtId="49" fontId="1" fillId="32" borderId="17" xfId="0" applyNumberFormat="1" applyFont="1" applyFill="1" applyBorder="1" applyAlignment="1" applyProtection="1">
      <alignment horizontal="distributed" vertical="center"/>
      <protection/>
    </xf>
    <xf numFmtId="49" fontId="5" fillId="32" borderId="82" xfId="0" applyNumberFormat="1" applyFont="1" applyFill="1" applyBorder="1" applyAlignment="1">
      <alignment vertical="center" wrapText="1" shrinkToFit="1"/>
    </xf>
    <xf numFmtId="49" fontId="5" fillId="32" borderId="29" xfId="0" applyNumberFormat="1" applyFont="1" applyFill="1" applyBorder="1" applyAlignment="1">
      <alignment vertical="center" wrapText="1" shrinkToFit="1"/>
    </xf>
    <xf numFmtId="49" fontId="5" fillId="32" borderId="130" xfId="0" applyNumberFormat="1" applyFont="1" applyFill="1" applyBorder="1" applyAlignment="1">
      <alignment vertical="center" wrapText="1" shrinkToFit="1"/>
    </xf>
    <xf numFmtId="49" fontId="1" fillId="32" borderId="11" xfId="0" applyNumberFormat="1" applyFont="1" applyFill="1" applyBorder="1" applyAlignment="1" applyProtection="1">
      <alignment horizontal="center" vertical="distributed"/>
      <protection/>
    </xf>
    <xf numFmtId="49" fontId="1" fillId="32" borderId="12" xfId="0" applyNumberFormat="1" applyFont="1" applyFill="1" applyBorder="1" applyAlignment="1" applyProtection="1">
      <alignment horizontal="center" vertical="distributed"/>
      <protection/>
    </xf>
    <xf numFmtId="49" fontId="1" fillId="32" borderId="26" xfId="0" applyNumberFormat="1" applyFont="1" applyFill="1" applyBorder="1" applyAlignment="1" applyProtection="1">
      <alignment horizontal="center" vertical="distributed"/>
      <protection/>
    </xf>
    <xf numFmtId="49" fontId="1" fillId="32" borderId="134" xfId="0" applyNumberFormat="1" applyFont="1" applyFill="1" applyBorder="1" applyAlignment="1" applyProtection="1">
      <alignment horizontal="center" vertical="distributed"/>
      <protection/>
    </xf>
    <xf numFmtId="49" fontId="1" fillId="32" borderId="0" xfId="0" applyNumberFormat="1" applyFont="1" applyFill="1" applyBorder="1" applyAlignment="1" applyProtection="1">
      <alignment horizontal="center" vertical="distributed"/>
      <protection/>
    </xf>
    <xf numFmtId="49" fontId="1" fillId="32" borderId="38" xfId="0" applyNumberFormat="1" applyFont="1" applyFill="1" applyBorder="1" applyAlignment="1" applyProtection="1">
      <alignment horizontal="center" vertical="distributed"/>
      <protection/>
    </xf>
    <xf numFmtId="49" fontId="5" fillId="32" borderId="24" xfId="0" applyNumberFormat="1" applyFont="1" applyFill="1" applyBorder="1" applyAlignment="1" applyProtection="1">
      <alignment horizontal="distributed" vertical="center"/>
      <protection/>
    </xf>
    <xf numFmtId="49" fontId="1" fillId="32" borderId="25" xfId="0" applyNumberFormat="1" applyFont="1" applyFill="1" applyBorder="1" applyAlignment="1" applyProtection="1">
      <alignment horizontal="center" vertical="distributed"/>
      <protection/>
    </xf>
    <xf numFmtId="49" fontId="1" fillId="32" borderId="18" xfId="0" applyNumberFormat="1" applyFont="1" applyFill="1" applyBorder="1" applyAlignment="1" applyProtection="1">
      <alignment horizontal="center" vertical="distributed"/>
      <protection/>
    </xf>
    <xf numFmtId="49" fontId="1" fillId="32" borderId="26" xfId="0" applyNumberFormat="1" applyFont="1" applyFill="1" applyBorder="1" applyAlignment="1" applyProtection="1">
      <alignment horizontal="center" vertical="center"/>
      <protection/>
    </xf>
    <xf numFmtId="49" fontId="1" fillId="32" borderId="30" xfId="0" applyNumberFormat="1" applyFont="1" applyFill="1" applyBorder="1" applyAlignment="1" applyProtection="1">
      <alignment horizontal="center" vertical="center"/>
      <protection/>
    </xf>
    <xf numFmtId="181" fontId="1" fillId="32" borderId="135" xfId="0" applyNumberFormat="1" applyFont="1" applyFill="1" applyBorder="1" applyAlignment="1" applyProtection="1">
      <alignment horizontal="right" vertical="center"/>
      <protection/>
    </xf>
    <xf numFmtId="181" fontId="1" fillId="32" borderId="136" xfId="0" applyNumberFormat="1" applyFont="1" applyFill="1" applyBorder="1" applyAlignment="1" applyProtection="1">
      <alignment horizontal="right" vertical="center"/>
      <protection/>
    </xf>
    <xf numFmtId="181" fontId="1" fillId="32" borderId="137" xfId="0" applyNumberFormat="1" applyFont="1" applyFill="1" applyBorder="1" applyAlignment="1" applyProtection="1">
      <alignment horizontal="right" vertical="center"/>
      <protection/>
    </xf>
    <xf numFmtId="189" fontId="1" fillId="32" borderId="24" xfId="0" applyNumberFormat="1" applyFont="1" applyFill="1" applyBorder="1" applyAlignment="1" applyProtection="1">
      <alignment horizontal="right" vertical="center"/>
      <protection/>
    </xf>
    <xf numFmtId="189" fontId="1" fillId="32" borderId="27" xfId="0" applyNumberFormat="1" applyFont="1" applyFill="1" applyBorder="1" applyAlignment="1" applyProtection="1">
      <alignment horizontal="right" vertical="center"/>
      <protection/>
    </xf>
    <xf numFmtId="189" fontId="1" fillId="32" borderId="109" xfId="0" applyNumberFormat="1" applyFont="1" applyFill="1" applyBorder="1" applyAlignment="1" applyProtection="1">
      <alignment horizontal="right" vertical="center"/>
      <protection/>
    </xf>
    <xf numFmtId="186" fontId="1" fillId="32" borderId="138" xfId="0" applyNumberFormat="1" applyFont="1" applyFill="1" applyBorder="1" applyAlignment="1" applyProtection="1">
      <alignment horizontal="right" vertical="center"/>
      <protection locked="0"/>
    </xf>
    <xf numFmtId="186" fontId="1" fillId="32" borderId="17" xfId="0" applyNumberFormat="1" applyFont="1" applyFill="1" applyBorder="1" applyAlignment="1" applyProtection="1">
      <alignment horizontal="right" vertical="center"/>
      <protection locked="0"/>
    </xf>
    <xf numFmtId="186" fontId="1" fillId="32" borderId="139" xfId="0" applyNumberFormat="1" applyFont="1" applyFill="1" applyBorder="1" applyAlignment="1" applyProtection="1">
      <alignment horizontal="right" vertical="center"/>
      <protection locked="0"/>
    </xf>
    <xf numFmtId="49" fontId="5" fillId="32" borderId="140" xfId="0" applyNumberFormat="1" applyFont="1" applyFill="1" applyBorder="1" applyAlignment="1" applyProtection="1">
      <alignment horizontal="left" vertical="center" wrapText="1"/>
      <protection/>
    </xf>
    <xf numFmtId="49" fontId="5" fillId="32" borderId="141" xfId="0" applyNumberFormat="1" applyFont="1" applyFill="1" applyBorder="1" applyAlignment="1" applyProtection="1">
      <alignment horizontal="left" vertical="center" wrapText="1"/>
      <protection/>
    </xf>
    <xf numFmtId="49" fontId="5" fillId="32" borderId="142" xfId="0" applyNumberFormat="1" applyFont="1" applyFill="1" applyBorder="1" applyAlignment="1" applyProtection="1">
      <alignment horizontal="left" vertical="center" wrapText="1"/>
      <protection/>
    </xf>
    <xf numFmtId="49" fontId="5" fillId="32" borderId="143" xfId="0" applyNumberFormat="1" applyFont="1" applyFill="1" applyBorder="1" applyAlignment="1" applyProtection="1">
      <alignment horizontal="left" vertical="center" wrapText="1"/>
      <protection/>
    </xf>
    <xf numFmtId="186" fontId="1" fillId="32" borderId="144" xfId="0" applyNumberFormat="1" applyFont="1" applyFill="1" applyBorder="1" applyAlignment="1" applyProtection="1">
      <alignment horizontal="right" vertical="center"/>
      <protection locked="0"/>
    </xf>
    <xf numFmtId="186" fontId="1" fillId="32" borderId="15" xfId="0" applyNumberFormat="1" applyFont="1" applyFill="1" applyBorder="1" applyAlignment="1" applyProtection="1">
      <alignment horizontal="right" vertical="center"/>
      <protection locked="0"/>
    </xf>
    <xf numFmtId="186" fontId="1" fillId="32" borderId="145" xfId="0" applyNumberFormat="1" applyFont="1" applyFill="1" applyBorder="1" applyAlignment="1" applyProtection="1">
      <alignment horizontal="right" vertical="center"/>
      <protection locked="0"/>
    </xf>
    <xf numFmtId="49" fontId="9" fillId="32" borderId="12" xfId="0" applyNumberFormat="1" applyFont="1" applyFill="1" applyBorder="1" applyAlignment="1" applyProtection="1">
      <alignment horizontal="right" vertical="top"/>
      <protection/>
    </xf>
    <xf numFmtId="49" fontId="9" fillId="32" borderId="104" xfId="0" applyNumberFormat="1" applyFont="1" applyFill="1" applyBorder="1" applyAlignment="1" applyProtection="1">
      <alignment horizontal="right" vertical="top"/>
      <protection/>
    </xf>
    <xf numFmtId="49" fontId="5" fillId="32" borderId="146" xfId="0" applyNumberFormat="1" applyFont="1" applyFill="1" applyBorder="1" applyAlignment="1" applyProtection="1">
      <alignment horizontal="center" vertical="center"/>
      <protection/>
    </xf>
    <xf numFmtId="49" fontId="5" fillId="32" borderId="32" xfId="0" applyNumberFormat="1" applyFont="1" applyFill="1" applyBorder="1" applyAlignment="1" applyProtection="1">
      <alignment horizontal="center" vertical="center"/>
      <protection/>
    </xf>
    <xf numFmtId="49" fontId="5" fillId="32" borderId="39" xfId="0" applyNumberFormat="1" applyFont="1" applyFill="1" applyBorder="1" applyAlignment="1" applyProtection="1">
      <alignment horizontal="right" vertical="center"/>
      <protection/>
    </xf>
    <xf numFmtId="49" fontId="5" fillId="32" borderId="40" xfId="0" applyNumberFormat="1" applyFont="1" applyFill="1" applyBorder="1" applyAlignment="1" applyProtection="1">
      <alignment horizontal="right" vertical="center"/>
      <protection/>
    </xf>
    <xf numFmtId="49" fontId="5" fillId="32" borderId="117" xfId="0" applyNumberFormat="1" applyFont="1" applyFill="1" applyBorder="1" applyAlignment="1" applyProtection="1">
      <alignment horizontal="right" vertical="center"/>
      <protection/>
    </xf>
    <xf numFmtId="0" fontId="5" fillId="32" borderId="129" xfId="0" applyNumberFormat="1" applyFont="1" applyFill="1" applyBorder="1" applyAlignment="1" applyProtection="1">
      <alignment horizontal="center" vertical="center"/>
      <protection/>
    </xf>
    <xf numFmtId="0" fontId="5" fillId="32" borderId="147" xfId="0" applyNumberFormat="1" applyFont="1" applyFill="1" applyBorder="1" applyAlignment="1" applyProtection="1">
      <alignment horizontal="center" vertical="center"/>
      <protection/>
    </xf>
    <xf numFmtId="186" fontId="1" fillId="32" borderId="148" xfId="0" applyNumberFormat="1" applyFont="1" applyFill="1" applyBorder="1" applyAlignment="1" applyProtection="1">
      <alignment horizontal="right" vertical="center"/>
      <protection locked="0"/>
    </xf>
    <xf numFmtId="186" fontId="1" fillId="32" borderId="149" xfId="0" applyNumberFormat="1" applyFont="1" applyFill="1" applyBorder="1" applyAlignment="1" applyProtection="1">
      <alignment horizontal="right" vertical="center"/>
      <protection locked="0"/>
    </xf>
    <xf numFmtId="186" fontId="1" fillId="32" borderId="150" xfId="0" applyNumberFormat="1" applyFont="1" applyFill="1" applyBorder="1" applyAlignment="1" applyProtection="1">
      <alignment horizontal="right" vertical="center"/>
      <protection locked="0"/>
    </xf>
    <xf numFmtId="49" fontId="5" fillId="32" borderId="82" xfId="0" applyNumberFormat="1" applyFont="1" applyFill="1" applyBorder="1" applyAlignment="1" applyProtection="1">
      <alignment horizontal="left" vertical="center" wrapText="1"/>
      <protection/>
    </xf>
    <xf numFmtId="49" fontId="5" fillId="32" borderId="29" xfId="0" applyNumberFormat="1" applyFont="1" applyFill="1" applyBorder="1" applyAlignment="1" applyProtection="1">
      <alignment horizontal="left" vertical="center" wrapText="1"/>
      <protection/>
    </xf>
    <xf numFmtId="49" fontId="1" fillId="36" borderId="0" xfId="0" applyNumberFormat="1" applyFont="1" applyFill="1" applyAlignment="1" applyProtection="1">
      <alignment horizontal="center" vertical="center" shrinkToFit="1"/>
      <protection locked="0"/>
    </xf>
    <xf numFmtId="0" fontId="1" fillId="36" borderId="0" xfId="0" applyNumberFormat="1" applyFont="1" applyFill="1" applyAlignment="1" applyProtection="1">
      <alignment horizontal="center" vertical="center" shrinkToFit="1"/>
      <protection locked="0"/>
    </xf>
    <xf numFmtId="0" fontId="26" fillId="0" borderId="0" xfId="0" applyNumberFormat="1" applyFont="1" applyFill="1" applyBorder="1" applyAlignment="1" applyProtection="1">
      <alignment horizontal="center" vertical="center"/>
      <protection locked="0"/>
    </xf>
    <xf numFmtId="49" fontId="1" fillId="32" borderId="0" xfId="0" applyNumberFormat="1" applyFont="1" applyFill="1" applyBorder="1" applyAlignment="1">
      <alignment vertical="center"/>
    </xf>
    <xf numFmtId="49" fontId="1" fillId="32" borderId="0" xfId="0" applyNumberFormat="1" applyFont="1" applyFill="1" applyBorder="1" applyAlignment="1" applyProtection="1">
      <alignment vertical="center" wrapText="1"/>
      <protection/>
    </xf>
    <xf numFmtId="49" fontId="5" fillId="32" borderId="29" xfId="0" applyNumberFormat="1" applyFont="1" applyFill="1" applyBorder="1" applyAlignment="1" applyProtection="1">
      <alignment horizontal="distributed" vertical="center" wrapText="1"/>
      <protection/>
    </xf>
    <xf numFmtId="181" fontId="1" fillId="32" borderId="111" xfId="0" applyNumberFormat="1" applyFont="1" applyFill="1" applyBorder="1" applyAlignment="1" applyProtection="1">
      <alignment horizontal="right" vertical="center"/>
      <protection/>
    </xf>
    <xf numFmtId="181" fontId="1" fillId="32" borderId="29" xfId="0" applyNumberFormat="1" applyFont="1" applyFill="1" applyBorder="1" applyAlignment="1" applyProtection="1">
      <alignment horizontal="right" vertical="center"/>
      <protection/>
    </xf>
    <xf numFmtId="181" fontId="1" fillId="32" borderId="112" xfId="0" applyNumberFormat="1" applyFont="1" applyFill="1" applyBorder="1" applyAlignment="1" applyProtection="1">
      <alignment horizontal="right" vertical="center"/>
      <protection/>
    </xf>
    <xf numFmtId="49" fontId="4" fillId="32" borderId="0" xfId="0" applyNumberFormat="1" applyFont="1" applyFill="1" applyBorder="1" applyAlignment="1" applyProtection="1">
      <alignment horizontal="center" vertical="center"/>
      <protection/>
    </xf>
    <xf numFmtId="0" fontId="1" fillId="0" borderId="0" xfId="0" applyFont="1" applyAlignment="1" applyProtection="1">
      <alignment horizontal="right" vertical="center" shrinkToFit="1"/>
      <protection locked="0"/>
    </xf>
    <xf numFmtId="49"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top" wrapText="1"/>
      <protection locked="0"/>
    </xf>
    <xf numFmtId="49" fontId="1" fillId="0" borderId="0" xfId="0" applyNumberFormat="1" applyFont="1" applyFill="1" applyAlignment="1" applyProtection="1">
      <alignment horizontal="center" vertical="center"/>
      <protection locked="0"/>
    </xf>
    <xf numFmtId="0" fontId="0" fillId="0" borderId="0" xfId="0" applyAlignment="1">
      <alignment vertical="center"/>
    </xf>
    <xf numFmtId="181" fontId="1" fillId="32" borderId="151" xfId="0" applyNumberFormat="1" applyFont="1" applyFill="1" applyBorder="1" applyAlignment="1" applyProtection="1">
      <alignment horizontal="right" vertical="center"/>
      <protection/>
    </xf>
    <xf numFmtId="181" fontId="1" fillId="32" borderId="152" xfId="0" applyNumberFormat="1" applyFont="1" applyFill="1" applyBorder="1" applyAlignment="1" applyProtection="1">
      <alignment horizontal="right" vertical="center"/>
      <protection/>
    </xf>
    <xf numFmtId="181" fontId="1" fillId="32" borderId="153" xfId="0" applyNumberFormat="1" applyFont="1" applyFill="1" applyBorder="1" applyAlignment="1" applyProtection="1">
      <alignment horizontal="right" vertical="center"/>
      <protection/>
    </xf>
    <xf numFmtId="179" fontId="1" fillId="32" borderId="119" xfId="0" applyNumberFormat="1" applyFont="1" applyFill="1" applyBorder="1" applyAlignment="1" applyProtection="1">
      <alignment horizontal="right" vertical="center"/>
      <protection locked="0"/>
    </xf>
    <xf numFmtId="179" fontId="1" fillId="32" borderId="120" xfId="0" applyNumberFormat="1" applyFont="1" applyFill="1" applyBorder="1" applyAlignment="1" applyProtection="1">
      <alignment horizontal="right" vertical="center"/>
      <protection locked="0"/>
    </xf>
    <xf numFmtId="179" fontId="1" fillId="32" borderId="121" xfId="0" applyNumberFormat="1" applyFont="1" applyFill="1" applyBorder="1" applyAlignment="1" applyProtection="1">
      <alignment horizontal="right" vertical="center"/>
      <protection locked="0"/>
    </xf>
    <xf numFmtId="179" fontId="1" fillId="32" borderId="138" xfId="0" applyNumberFormat="1" applyFont="1" applyFill="1" applyBorder="1" applyAlignment="1" applyProtection="1">
      <alignment horizontal="right" vertical="center"/>
      <protection locked="0"/>
    </xf>
    <xf numFmtId="179" fontId="1" fillId="32" borderId="17" xfId="0" applyNumberFormat="1" applyFont="1" applyFill="1" applyBorder="1" applyAlignment="1" applyProtection="1">
      <alignment horizontal="right" vertical="center"/>
      <protection locked="0"/>
    </xf>
    <xf numFmtId="179" fontId="1" fillId="32" borderId="139" xfId="0" applyNumberFormat="1" applyFont="1" applyFill="1" applyBorder="1" applyAlignment="1" applyProtection="1">
      <alignment horizontal="right" vertical="center"/>
      <protection locked="0"/>
    </xf>
    <xf numFmtId="179" fontId="1" fillId="32" borderId="111" xfId="0" applyNumberFormat="1" applyFont="1" applyFill="1" applyBorder="1" applyAlignment="1" applyProtection="1">
      <alignment horizontal="right" vertical="center"/>
      <protection locked="0"/>
    </xf>
    <xf numFmtId="179" fontId="1" fillId="32" borderId="29" xfId="0" applyNumberFormat="1" applyFont="1" applyFill="1" applyBorder="1" applyAlignment="1" applyProtection="1">
      <alignment horizontal="right" vertical="center"/>
      <protection locked="0"/>
    </xf>
    <xf numFmtId="179" fontId="1" fillId="32" borderId="112" xfId="0" applyNumberFormat="1" applyFont="1" applyFill="1" applyBorder="1" applyAlignment="1" applyProtection="1">
      <alignment horizontal="right" vertical="center"/>
      <protection locked="0"/>
    </xf>
    <xf numFmtId="49" fontId="9" fillId="32" borderId="11" xfId="0" applyNumberFormat="1" applyFont="1" applyFill="1" applyBorder="1" applyAlignment="1" applyProtection="1">
      <alignment horizontal="right" vertical="center"/>
      <protection/>
    </xf>
    <xf numFmtId="49" fontId="9" fillId="32" borderId="12" xfId="0" applyNumberFormat="1" applyFont="1" applyFill="1" applyBorder="1" applyAlignment="1" applyProtection="1">
      <alignment horizontal="right" vertical="center"/>
      <protection/>
    </xf>
    <xf numFmtId="49" fontId="9" fillId="32" borderId="26" xfId="0" applyNumberFormat="1" applyFont="1" applyFill="1" applyBorder="1" applyAlignment="1" applyProtection="1">
      <alignment horizontal="right" vertical="center"/>
      <protection/>
    </xf>
    <xf numFmtId="49" fontId="9" fillId="32" borderId="11" xfId="0" applyNumberFormat="1" applyFont="1" applyFill="1" applyBorder="1" applyAlignment="1" applyProtection="1">
      <alignment horizontal="right" vertical="top"/>
      <protection/>
    </xf>
    <xf numFmtId="49" fontId="9" fillId="32" borderId="26" xfId="0" applyNumberFormat="1" applyFont="1" applyFill="1" applyBorder="1" applyAlignment="1" applyProtection="1">
      <alignment horizontal="right" vertical="top"/>
      <protection/>
    </xf>
    <xf numFmtId="49" fontId="5" fillId="32" borderId="82" xfId="0" applyNumberFormat="1" applyFont="1" applyFill="1" applyBorder="1" applyAlignment="1" applyProtection="1">
      <alignment horizontal="center" vertical="center" wrapText="1"/>
      <protection/>
    </xf>
    <xf numFmtId="49" fontId="5" fillId="32" borderId="29" xfId="0" applyNumberFormat="1" applyFont="1" applyFill="1" applyBorder="1" applyAlignment="1" applyProtection="1">
      <alignment horizontal="center" vertical="center" wrapText="1"/>
      <protection/>
    </xf>
    <xf numFmtId="181" fontId="1" fillId="32" borderId="154" xfId="0" applyNumberFormat="1" applyFont="1" applyFill="1" applyBorder="1" applyAlignment="1" applyProtection="1">
      <alignment horizontal="right" vertical="center"/>
      <protection/>
    </xf>
    <xf numFmtId="181" fontId="1" fillId="32" borderId="10" xfId="0" applyNumberFormat="1" applyFont="1" applyFill="1" applyBorder="1" applyAlignment="1" applyProtection="1">
      <alignment horizontal="right" vertical="center"/>
      <protection/>
    </xf>
    <xf numFmtId="181" fontId="1" fillId="32" borderId="155" xfId="0" applyNumberFormat="1" applyFont="1" applyFill="1" applyBorder="1" applyAlignment="1" applyProtection="1">
      <alignment horizontal="right" vertical="center"/>
      <protection/>
    </xf>
    <xf numFmtId="179" fontId="1" fillId="32" borderId="154" xfId="0" applyNumberFormat="1" applyFont="1" applyFill="1" applyBorder="1" applyAlignment="1" applyProtection="1">
      <alignment horizontal="right" vertical="center" shrinkToFit="1"/>
      <protection locked="0"/>
    </xf>
    <xf numFmtId="179" fontId="1" fillId="32" borderId="10" xfId="0" applyNumberFormat="1" applyFont="1" applyFill="1" applyBorder="1" applyAlignment="1" applyProtection="1">
      <alignment horizontal="right" vertical="center" shrinkToFit="1"/>
      <protection locked="0"/>
    </xf>
    <xf numFmtId="179" fontId="1" fillId="32" borderId="155" xfId="0" applyNumberFormat="1" applyFont="1" applyFill="1" applyBorder="1" applyAlignment="1" applyProtection="1">
      <alignment horizontal="right" vertical="center" shrinkToFit="1"/>
      <protection locked="0"/>
    </xf>
    <xf numFmtId="189" fontId="1" fillId="32" borderId="135" xfId="0" applyNumberFormat="1" applyFont="1" applyFill="1" applyBorder="1" applyAlignment="1" applyProtection="1">
      <alignment horizontal="right" vertical="center"/>
      <protection/>
    </xf>
    <xf numFmtId="189" fontId="1" fillId="32" borderId="136" xfId="0" applyNumberFormat="1" applyFont="1" applyFill="1" applyBorder="1" applyAlignment="1" applyProtection="1">
      <alignment horizontal="right" vertical="center"/>
      <protection/>
    </xf>
    <xf numFmtId="189" fontId="1" fillId="32" borderId="137" xfId="0" applyNumberFormat="1" applyFont="1" applyFill="1" applyBorder="1" applyAlignment="1" applyProtection="1">
      <alignment horizontal="right" vertical="center"/>
      <protection/>
    </xf>
    <xf numFmtId="49" fontId="5" fillId="32" borderId="156" xfId="0" applyNumberFormat="1" applyFont="1" applyFill="1" applyBorder="1" applyAlignment="1" applyProtection="1">
      <alignment horizontal="center" vertical="center"/>
      <protection/>
    </xf>
    <xf numFmtId="179" fontId="1" fillId="32" borderId="111" xfId="0" applyNumberFormat="1" applyFont="1" applyFill="1" applyBorder="1" applyAlignment="1" applyProtection="1">
      <alignment horizontal="right" vertical="center" shrinkToFit="1"/>
      <protection locked="0"/>
    </xf>
    <xf numFmtId="179" fontId="1" fillId="32" borderId="29" xfId="0" applyNumberFormat="1" applyFont="1" applyFill="1" applyBorder="1" applyAlignment="1" applyProtection="1">
      <alignment horizontal="right" vertical="center" shrinkToFit="1"/>
      <protection locked="0"/>
    </xf>
    <xf numFmtId="179" fontId="1" fillId="32" borderId="112" xfId="0" applyNumberFormat="1" applyFont="1" applyFill="1" applyBorder="1" applyAlignment="1" applyProtection="1">
      <alignment horizontal="right" vertical="center" shrinkToFit="1"/>
      <protection locked="0"/>
    </xf>
    <xf numFmtId="0" fontId="1" fillId="32" borderId="0" xfId="0" applyFont="1" applyFill="1" applyAlignment="1">
      <alignment vertical="center" wrapText="1"/>
    </xf>
    <xf numFmtId="49" fontId="5" fillId="32" borderId="29" xfId="0" applyNumberFormat="1" applyFont="1" applyFill="1" applyBorder="1" applyAlignment="1" applyProtection="1">
      <alignment horizontal="distributed" vertical="center"/>
      <protection/>
    </xf>
    <xf numFmtId="49" fontId="9" fillId="32" borderId="25" xfId="0" applyNumberFormat="1" applyFont="1" applyFill="1" applyBorder="1" applyAlignment="1" applyProtection="1">
      <alignment horizontal="right" vertical="center" shrinkToFit="1"/>
      <protection/>
    </xf>
    <xf numFmtId="49" fontId="9" fillId="32" borderId="12" xfId="0" applyNumberFormat="1" applyFont="1" applyFill="1" applyBorder="1" applyAlignment="1" applyProtection="1">
      <alignment horizontal="right" vertical="center" shrinkToFit="1"/>
      <protection/>
    </xf>
    <xf numFmtId="49" fontId="9" fillId="32" borderId="104" xfId="0" applyNumberFormat="1" applyFont="1" applyFill="1" applyBorder="1" applyAlignment="1" applyProtection="1">
      <alignment horizontal="right" vertical="center" shrinkToFit="1"/>
      <protection/>
    </xf>
    <xf numFmtId="182" fontId="1" fillId="0" borderId="0" xfId="0" applyNumberFormat="1" applyFont="1" applyFill="1" applyBorder="1" applyAlignment="1" applyProtection="1">
      <alignment horizontal="left" vertical="center"/>
      <protection locked="0"/>
    </xf>
    <xf numFmtId="49" fontId="1" fillId="32"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shrinkToFit="1"/>
      <protection locked="0"/>
    </xf>
    <xf numFmtId="49" fontId="1" fillId="0" borderId="0" xfId="0" applyNumberFormat="1" applyFont="1" applyFill="1" applyBorder="1" applyAlignment="1" applyProtection="1">
      <alignment horizontal="left" vertical="center"/>
      <protection locked="0"/>
    </xf>
    <xf numFmtId="179" fontId="1" fillId="32" borderId="119" xfId="0" applyNumberFormat="1" applyFont="1" applyFill="1" applyBorder="1" applyAlignment="1" applyProtection="1">
      <alignment horizontal="right" vertical="center" shrinkToFit="1"/>
      <protection locked="0"/>
    </xf>
    <xf numFmtId="179" fontId="1" fillId="32" borderId="120" xfId="0" applyNumberFormat="1" applyFont="1" applyFill="1" applyBorder="1" applyAlignment="1" applyProtection="1">
      <alignment horizontal="right" vertical="center" shrinkToFit="1"/>
      <protection locked="0"/>
    </xf>
    <xf numFmtId="179" fontId="1" fillId="32" borderId="121" xfId="0" applyNumberFormat="1" applyFont="1" applyFill="1" applyBorder="1" applyAlignment="1" applyProtection="1">
      <alignment horizontal="right" vertical="center" shrinkToFit="1"/>
      <protection locked="0"/>
    </xf>
    <xf numFmtId="179" fontId="1" fillId="32" borderId="138" xfId="0" applyNumberFormat="1" applyFont="1" applyFill="1" applyBorder="1" applyAlignment="1" applyProtection="1">
      <alignment horizontal="right" vertical="center" shrinkToFit="1"/>
      <protection locked="0"/>
    </xf>
    <xf numFmtId="179" fontId="1" fillId="32" borderId="17" xfId="0" applyNumberFormat="1" applyFont="1" applyFill="1" applyBorder="1" applyAlignment="1" applyProtection="1">
      <alignment horizontal="right" vertical="center" shrinkToFit="1"/>
      <protection locked="0"/>
    </xf>
    <xf numFmtId="179" fontId="1" fillId="32" borderId="139" xfId="0" applyNumberFormat="1" applyFont="1" applyFill="1" applyBorder="1" applyAlignment="1" applyProtection="1">
      <alignment horizontal="right" vertical="center" shrinkToFit="1"/>
      <protection locked="0"/>
    </xf>
    <xf numFmtId="49" fontId="5" fillId="32" borderId="157" xfId="0" applyNumberFormat="1" applyFont="1" applyFill="1" applyBorder="1" applyAlignment="1" applyProtection="1">
      <alignment horizontal="center" vertical="center" wrapText="1"/>
      <protection/>
    </xf>
    <xf numFmtId="49" fontId="5" fillId="32" borderId="10" xfId="0" applyNumberFormat="1" applyFont="1" applyFill="1" applyBorder="1" applyAlignment="1" applyProtection="1">
      <alignment horizontal="center" vertical="center" wrapText="1"/>
      <protection/>
    </xf>
    <xf numFmtId="49" fontId="1" fillId="32" borderId="104" xfId="0" applyNumberFormat="1" applyFont="1" applyFill="1" applyBorder="1" applyAlignment="1" applyProtection="1">
      <alignment horizontal="center" vertical="center"/>
      <protection/>
    </xf>
    <xf numFmtId="49" fontId="1" fillId="32" borderId="117" xfId="0" applyNumberFormat="1" applyFont="1" applyFill="1" applyBorder="1" applyAlignment="1" applyProtection="1">
      <alignment horizontal="center" vertical="center"/>
      <protection/>
    </xf>
    <xf numFmtId="49" fontId="1" fillId="32" borderId="22" xfId="0" applyNumberFormat="1" applyFont="1" applyFill="1" applyBorder="1" applyAlignment="1" applyProtection="1">
      <alignment horizontal="center" vertical="center"/>
      <protection/>
    </xf>
    <xf numFmtId="49" fontId="1" fillId="32" borderId="17" xfId="0" applyNumberFormat="1" applyFont="1" applyFill="1" applyBorder="1" applyAlignment="1" applyProtection="1">
      <alignment horizontal="center" vertical="center"/>
      <protection/>
    </xf>
    <xf numFmtId="49" fontId="1" fillId="32" borderId="32" xfId="0" applyNumberFormat="1" applyFont="1" applyFill="1" applyBorder="1" applyAlignment="1" applyProtection="1">
      <alignment horizontal="center" vertical="center"/>
      <protection/>
    </xf>
    <xf numFmtId="0" fontId="5" fillId="32" borderId="0" xfId="0" applyNumberFormat="1" applyFont="1" applyFill="1" applyBorder="1" applyAlignment="1" applyProtection="1">
      <alignment horizontal="center" vertical="center"/>
      <protection locked="0"/>
    </xf>
    <xf numFmtId="49" fontId="5" fillId="32" borderId="0" xfId="0" applyNumberFormat="1" applyFont="1" applyFill="1" applyBorder="1" applyAlignment="1" applyProtection="1">
      <alignment vertical="distributed"/>
      <protection/>
    </xf>
    <xf numFmtId="49" fontId="5" fillId="32" borderId="29" xfId="0" applyNumberFormat="1" applyFont="1" applyFill="1" applyBorder="1" applyAlignment="1" applyProtection="1">
      <alignment horizontal="right" vertical="center"/>
      <protection/>
    </xf>
    <xf numFmtId="49" fontId="1" fillId="32" borderId="40" xfId="0" applyNumberFormat="1" applyFont="1" applyFill="1" applyBorder="1" applyAlignment="1" applyProtection="1">
      <alignment horizontal="center" vertical="distributed"/>
      <protection/>
    </xf>
    <xf numFmtId="0" fontId="9" fillId="32" borderId="10" xfId="0" applyNumberFormat="1" applyFont="1" applyFill="1" applyBorder="1" applyAlignment="1" applyProtection="1">
      <alignment horizontal="center" vertical="center"/>
      <protection locked="0"/>
    </xf>
    <xf numFmtId="0" fontId="9" fillId="32" borderId="83" xfId="0" applyNumberFormat="1" applyFont="1" applyFill="1" applyBorder="1" applyAlignment="1" applyProtection="1">
      <alignment horizontal="center" vertical="center"/>
      <protection locked="0"/>
    </xf>
    <xf numFmtId="49" fontId="9" fillId="32" borderId="10" xfId="0" applyNumberFormat="1" applyFont="1" applyFill="1" applyBorder="1" applyAlignment="1" applyProtection="1">
      <alignment horizontal="center" vertical="center"/>
      <protection/>
    </xf>
    <xf numFmtId="49" fontId="9" fillId="32" borderId="83" xfId="0" applyNumberFormat="1" applyFont="1" applyFill="1" applyBorder="1" applyAlignment="1" applyProtection="1">
      <alignment horizontal="center" vertical="center"/>
      <protection/>
    </xf>
    <xf numFmtId="49" fontId="9" fillId="32" borderId="17" xfId="0" applyNumberFormat="1" applyFont="1" applyFill="1" applyBorder="1" applyAlignment="1" applyProtection="1">
      <alignment horizontal="center" vertical="center"/>
      <protection/>
    </xf>
    <xf numFmtId="49" fontId="9" fillId="32" borderId="32" xfId="0" applyNumberFormat="1" applyFont="1" applyFill="1" applyBorder="1" applyAlignment="1" applyProtection="1">
      <alignment horizontal="center" vertical="center"/>
      <protection/>
    </xf>
    <xf numFmtId="49" fontId="9" fillId="32" borderId="29" xfId="0" applyNumberFormat="1" applyFont="1" applyFill="1" applyBorder="1" applyAlignment="1" applyProtection="1">
      <alignment horizontal="center" vertical="center"/>
      <protection/>
    </xf>
    <xf numFmtId="49" fontId="9" fillId="32" borderId="133" xfId="0" applyNumberFormat="1" applyFont="1" applyFill="1" applyBorder="1" applyAlignment="1" applyProtection="1">
      <alignment horizontal="center" vertical="center"/>
      <protection/>
    </xf>
    <xf numFmtId="0" fontId="1" fillId="32" borderId="12" xfId="0" applyFont="1" applyFill="1" applyBorder="1" applyAlignment="1" applyProtection="1">
      <alignment vertical="center"/>
      <protection/>
    </xf>
    <xf numFmtId="189" fontId="1" fillId="32" borderId="158" xfId="0" applyNumberFormat="1" applyFont="1" applyFill="1" applyBorder="1" applyAlignment="1" applyProtection="1">
      <alignment horizontal="right" vertical="center"/>
      <protection/>
    </xf>
    <xf numFmtId="189" fontId="1" fillId="32" borderId="40" xfId="0" applyNumberFormat="1" applyFont="1" applyFill="1" applyBorder="1" applyAlignment="1" applyProtection="1">
      <alignment horizontal="right" vertical="center"/>
      <protection/>
    </xf>
    <xf numFmtId="0" fontId="1" fillId="32" borderId="26" xfId="0" applyFont="1" applyFill="1" applyBorder="1" applyAlignment="1" applyProtection="1">
      <alignment vertical="center"/>
      <protection/>
    </xf>
    <xf numFmtId="189" fontId="1" fillId="32" borderId="131" xfId="0" applyNumberFormat="1" applyFont="1" applyFill="1" applyBorder="1" applyAlignment="1" applyProtection="1">
      <alignment horizontal="right" vertical="center"/>
      <protection/>
    </xf>
    <xf numFmtId="189" fontId="1" fillId="32" borderId="13" xfId="0" applyNumberFormat="1" applyFont="1" applyFill="1" applyBorder="1" applyAlignment="1" applyProtection="1">
      <alignment horizontal="right" vertical="center"/>
      <protection/>
    </xf>
    <xf numFmtId="49" fontId="5" fillId="32" borderId="21" xfId="0" applyNumberFormat="1" applyFont="1" applyFill="1" applyBorder="1" applyAlignment="1" applyProtection="1">
      <alignment horizontal="center" vertical="center"/>
      <protection/>
    </xf>
    <xf numFmtId="186" fontId="1" fillId="32" borderId="158" xfId="0" applyNumberFormat="1" applyFont="1" applyFill="1" applyBorder="1" applyAlignment="1" applyProtection="1">
      <alignment horizontal="right" vertical="center"/>
      <protection/>
    </xf>
    <xf numFmtId="186" fontId="1" fillId="32" borderId="40" xfId="0" applyNumberFormat="1" applyFont="1" applyFill="1" applyBorder="1" applyAlignment="1" applyProtection="1">
      <alignment horizontal="right" vertical="center"/>
      <protection/>
    </xf>
    <xf numFmtId="181" fontId="1" fillId="32" borderId="27" xfId="0" applyNumberFormat="1" applyFont="1" applyFill="1" applyBorder="1" applyAlignment="1" applyProtection="1">
      <alignment horizontal="right" vertical="center"/>
      <protection/>
    </xf>
    <xf numFmtId="181" fontId="1" fillId="32" borderId="138" xfId="0" applyNumberFormat="1" applyFont="1" applyFill="1" applyBorder="1" applyAlignment="1" applyProtection="1">
      <alignment horizontal="right" vertical="center"/>
      <protection/>
    </xf>
    <xf numFmtId="181" fontId="1" fillId="32" borderId="17" xfId="0" applyNumberFormat="1" applyFont="1" applyFill="1" applyBorder="1" applyAlignment="1" applyProtection="1">
      <alignment horizontal="right" vertical="center"/>
      <protection/>
    </xf>
    <xf numFmtId="181" fontId="1" fillId="32" borderId="159" xfId="0" applyNumberFormat="1" applyFont="1" applyFill="1" applyBorder="1" applyAlignment="1" applyProtection="1">
      <alignment horizontal="right" vertical="center"/>
      <protection/>
    </xf>
    <xf numFmtId="189" fontId="1" fillId="32" borderId="160" xfId="0" applyNumberFormat="1" applyFont="1" applyFill="1" applyBorder="1" applyAlignment="1" applyProtection="1">
      <alignment horizontal="right" vertical="center"/>
      <protection/>
    </xf>
    <xf numFmtId="189" fontId="1" fillId="32" borderId="129" xfId="0" applyNumberFormat="1" applyFont="1" applyFill="1" applyBorder="1" applyAlignment="1" applyProtection="1">
      <alignment horizontal="right" vertical="center"/>
      <protection/>
    </xf>
    <xf numFmtId="189" fontId="1" fillId="32" borderId="147" xfId="0" applyNumberFormat="1" applyFont="1" applyFill="1" applyBorder="1" applyAlignment="1" applyProtection="1">
      <alignment horizontal="right" vertical="center"/>
      <protection/>
    </xf>
    <xf numFmtId="189" fontId="1" fillId="32" borderId="161" xfId="0" applyNumberFormat="1" applyFont="1" applyFill="1" applyBorder="1" applyAlignment="1" applyProtection="1">
      <alignment horizontal="right" vertical="center"/>
      <protection/>
    </xf>
    <xf numFmtId="189" fontId="1" fillId="32" borderId="146" xfId="0" applyNumberFormat="1" applyFont="1" applyFill="1" applyBorder="1" applyAlignment="1" applyProtection="1">
      <alignment horizontal="right" vertical="center"/>
      <protection/>
    </xf>
    <xf numFmtId="181" fontId="1" fillId="32" borderId="139" xfId="0" applyNumberFormat="1" applyFont="1" applyFill="1" applyBorder="1" applyAlignment="1" applyProtection="1">
      <alignment horizontal="right" vertical="center"/>
      <protection/>
    </xf>
    <xf numFmtId="49" fontId="9" fillId="32" borderId="82" xfId="0" applyNumberFormat="1" applyFont="1" applyFill="1" applyBorder="1" applyAlignment="1" applyProtection="1">
      <alignment horizontal="left" vertical="center" wrapText="1"/>
      <protection/>
    </xf>
    <xf numFmtId="49" fontId="9" fillId="32" borderId="29" xfId="0" applyNumberFormat="1" applyFont="1" applyFill="1" applyBorder="1" applyAlignment="1" applyProtection="1">
      <alignment horizontal="left" vertical="center" wrapText="1"/>
      <protection/>
    </xf>
    <xf numFmtId="189" fontId="1" fillId="32" borderId="111" xfId="0" applyNumberFormat="1" applyFont="1" applyFill="1" applyBorder="1" applyAlignment="1" applyProtection="1">
      <alignment horizontal="right" vertical="center"/>
      <protection locked="0"/>
    </xf>
    <xf numFmtId="189" fontId="1" fillId="32" borderId="29" xfId="0" applyNumberFormat="1" applyFont="1" applyFill="1" applyBorder="1" applyAlignment="1" applyProtection="1">
      <alignment horizontal="right" vertical="center"/>
      <protection locked="0"/>
    </xf>
    <xf numFmtId="189" fontId="1" fillId="32" borderId="112" xfId="0" applyNumberFormat="1" applyFont="1" applyFill="1" applyBorder="1" applyAlignment="1" applyProtection="1">
      <alignment horizontal="right" vertical="center"/>
      <protection locked="0"/>
    </xf>
    <xf numFmtId="189" fontId="1" fillId="32" borderId="162" xfId="0" applyNumberFormat="1" applyFont="1" applyFill="1" applyBorder="1" applyAlignment="1" applyProtection="1">
      <alignment horizontal="right" vertical="center"/>
      <protection/>
    </xf>
    <xf numFmtId="189" fontId="1" fillId="32" borderId="100" xfId="0" applyNumberFormat="1" applyFont="1" applyFill="1" applyBorder="1" applyAlignment="1" applyProtection="1">
      <alignment horizontal="right" vertical="center"/>
      <protection/>
    </xf>
    <xf numFmtId="189" fontId="1" fillId="32" borderId="163" xfId="0" applyNumberFormat="1" applyFont="1" applyFill="1" applyBorder="1" applyAlignment="1" applyProtection="1">
      <alignment horizontal="right" vertical="center"/>
      <protection/>
    </xf>
    <xf numFmtId="49" fontId="5" fillId="32" borderId="156" xfId="0" applyNumberFormat="1" applyFont="1" applyFill="1" applyBorder="1" applyAlignment="1" applyProtection="1">
      <alignment horizontal="center" vertical="center" textRotation="255" wrapText="1"/>
      <protection/>
    </xf>
    <xf numFmtId="49" fontId="5" fillId="32" borderId="164" xfId="0" applyNumberFormat="1" applyFont="1" applyFill="1" applyBorder="1" applyAlignment="1" applyProtection="1">
      <alignment horizontal="center" vertical="center" textRotation="255" wrapText="1"/>
      <protection/>
    </xf>
    <xf numFmtId="49" fontId="5" fillId="32" borderId="165" xfId="0" applyNumberFormat="1" applyFont="1" applyFill="1" applyBorder="1" applyAlignment="1" applyProtection="1">
      <alignment horizontal="center" vertical="center" textRotation="255" wrapText="1"/>
      <protection/>
    </xf>
    <xf numFmtId="49" fontId="5" fillId="32" borderId="157" xfId="0" applyNumberFormat="1" applyFont="1" applyFill="1" applyBorder="1" applyAlignment="1" applyProtection="1">
      <alignment horizontal="left" vertical="center" wrapText="1"/>
      <protection/>
    </xf>
    <xf numFmtId="49" fontId="5" fillId="32" borderId="10" xfId="0" applyNumberFormat="1" applyFont="1" applyFill="1" applyBorder="1" applyAlignment="1" applyProtection="1">
      <alignment horizontal="left" vertical="center" wrapText="1"/>
      <protection/>
    </xf>
    <xf numFmtId="186" fontId="1" fillId="32" borderId="109" xfId="0" applyNumberFormat="1" applyFont="1" applyFill="1" applyBorder="1" applyAlignment="1" applyProtection="1">
      <alignment horizontal="right" vertical="center"/>
      <protection locked="0"/>
    </xf>
    <xf numFmtId="186" fontId="1" fillId="32" borderId="28" xfId="0" applyNumberFormat="1" applyFont="1" applyFill="1" applyBorder="1" applyAlignment="1" applyProtection="1">
      <alignment horizontal="right" vertical="center"/>
      <protection locked="0"/>
    </xf>
    <xf numFmtId="186" fontId="1" fillId="32" borderId="116" xfId="0" applyNumberFormat="1" applyFont="1" applyFill="1" applyBorder="1" applyAlignment="1" applyProtection="1">
      <alignment horizontal="right" vertical="center"/>
      <protection locked="0"/>
    </xf>
    <xf numFmtId="186" fontId="1" fillId="32" borderId="154" xfId="0" applyNumberFormat="1" applyFont="1" applyFill="1" applyBorder="1" applyAlignment="1" applyProtection="1">
      <alignment horizontal="right" vertical="center"/>
      <protection locked="0"/>
    </xf>
    <xf numFmtId="186" fontId="1" fillId="32" borderId="10" xfId="0" applyNumberFormat="1" applyFont="1" applyFill="1" applyBorder="1" applyAlignment="1" applyProtection="1">
      <alignment horizontal="right" vertical="center"/>
      <protection locked="0"/>
    </xf>
    <xf numFmtId="186" fontId="1" fillId="32" borderId="155" xfId="0" applyNumberFormat="1" applyFont="1" applyFill="1" applyBorder="1" applyAlignment="1" applyProtection="1">
      <alignment horizontal="right" vertical="center"/>
      <protection locked="0"/>
    </xf>
    <xf numFmtId="189" fontId="1" fillId="32" borderId="113" xfId="0" applyNumberFormat="1" applyFont="1" applyFill="1" applyBorder="1" applyAlignment="1" applyProtection="1">
      <alignment horizontal="right" vertical="center"/>
      <protection locked="0"/>
    </xf>
    <xf numFmtId="189" fontId="1" fillId="32" borderId="114" xfId="0" applyNumberFormat="1" applyFont="1" applyFill="1" applyBorder="1" applyAlignment="1" applyProtection="1">
      <alignment horizontal="right" vertical="center"/>
      <protection locked="0"/>
    </xf>
    <xf numFmtId="189" fontId="1" fillId="32" borderId="115" xfId="0" applyNumberFormat="1" applyFont="1" applyFill="1" applyBorder="1" applyAlignment="1" applyProtection="1">
      <alignment horizontal="right" vertical="center"/>
      <protection locked="0"/>
    </xf>
    <xf numFmtId="189" fontId="1" fillId="32" borderId="101" xfId="0" applyNumberFormat="1" applyFont="1" applyFill="1" applyBorder="1" applyAlignment="1" applyProtection="1">
      <alignment horizontal="right" vertical="center"/>
      <protection locked="0"/>
    </xf>
    <xf numFmtId="189" fontId="1" fillId="32" borderId="102" xfId="0" applyNumberFormat="1" applyFont="1" applyFill="1" applyBorder="1" applyAlignment="1" applyProtection="1">
      <alignment horizontal="right" vertical="center"/>
      <protection locked="0"/>
    </xf>
    <xf numFmtId="189" fontId="1" fillId="32" borderId="103" xfId="0" applyNumberFormat="1" applyFont="1" applyFill="1" applyBorder="1" applyAlignment="1" applyProtection="1">
      <alignment horizontal="right" vertical="center"/>
      <protection locked="0"/>
    </xf>
    <xf numFmtId="49" fontId="9" fillId="32" borderId="166" xfId="0" applyNumberFormat="1" applyFont="1" applyFill="1" applyBorder="1" applyAlignment="1" applyProtection="1">
      <alignment horizontal="right" vertical="center"/>
      <protection/>
    </xf>
    <xf numFmtId="49" fontId="9" fillId="32" borderId="120" xfId="0" applyNumberFormat="1" applyFont="1" applyFill="1" applyBorder="1" applyAlignment="1" applyProtection="1">
      <alignment horizontal="right" vertical="center"/>
      <protection/>
    </xf>
    <xf numFmtId="49" fontId="9" fillId="32" borderId="167" xfId="0" applyNumberFormat="1" applyFont="1" applyFill="1" applyBorder="1" applyAlignment="1" applyProtection="1">
      <alignment horizontal="right" vertical="center"/>
      <protection/>
    </xf>
    <xf numFmtId="49" fontId="9" fillId="32" borderId="25" xfId="0" applyNumberFormat="1" applyFont="1" applyFill="1" applyBorder="1" applyAlignment="1" applyProtection="1">
      <alignment horizontal="center" wrapText="1"/>
      <protection/>
    </xf>
    <xf numFmtId="49" fontId="9" fillId="32" borderId="12" xfId="0" applyNumberFormat="1" applyFont="1" applyFill="1" applyBorder="1" applyAlignment="1" applyProtection="1">
      <alignment horizontal="center" wrapText="1"/>
      <protection/>
    </xf>
    <xf numFmtId="49" fontId="9" fillId="32" borderId="39" xfId="0" applyNumberFormat="1" applyFont="1" applyFill="1" applyBorder="1" applyAlignment="1" applyProtection="1">
      <alignment horizontal="center" wrapText="1"/>
      <protection/>
    </xf>
    <xf numFmtId="49" fontId="9" fillId="32" borderId="40" xfId="0" applyNumberFormat="1" applyFont="1" applyFill="1" applyBorder="1" applyAlignment="1" applyProtection="1">
      <alignment horizontal="center" wrapText="1"/>
      <protection/>
    </xf>
    <xf numFmtId="49" fontId="9" fillId="32" borderId="25" xfId="0" applyNumberFormat="1" applyFont="1" applyFill="1" applyBorder="1" applyAlignment="1" applyProtection="1">
      <alignment horizontal="right" vertical="top"/>
      <protection/>
    </xf>
    <xf numFmtId="186" fontId="1" fillId="32" borderId="168" xfId="0" applyNumberFormat="1" applyFont="1" applyFill="1" applyBorder="1" applyAlignment="1" applyProtection="1">
      <alignment horizontal="right" vertical="center"/>
      <protection locked="0"/>
    </xf>
    <xf numFmtId="186" fontId="1" fillId="32" borderId="169" xfId="0" applyNumberFormat="1" applyFont="1" applyFill="1" applyBorder="1" applyAlignment="1" applyProtection="1">
      <alignment horizontal="right" vertical="center"/>
      <protection locked="0"/>
    </xf>
    <xf numFmtId="186" fontId="1" fillId="32" borderId="170" xfId="0" applyNumberFormat="1" applyFont="1" applyFill="1" applyBorder="1" applyAlignment="1" applyProtection="1">
      <alignment horizontal="right" vertical="center"/>
      <protection locked="0"/>
    </xf>
    <xf numFmtId="0" fontId="9" fillId="32" borderId="26" xfId="0" applyNumberFormat="1" applyFont="1" applyFill="1" applyBorder="1" applyAlignment="1" applyProtection="1">
      <alignment horizontal="right" vertical="top"/>
      <protection/>
    </xf>
    <xf numFmtId="49" fontId="5" fillId="32" borderId="28" xfId="0" applyNumberFormat="1" applyFont="1" applyFill="1" applyBorder="1" applyAlignment="1" applyProtection="1">
      <alignment vertical="center"/>
      <protection/>
    </xf>
    <xf numFmtId="49" fontId="5" fillId="32" borderId="11" xfId="0" applyNumberFormat="1" applyFont="1" applyFill="1" applyBorder="1" applyAlignment="1" applyProtection="1">
      <alignment horizontal="center" vertical="center" wrapText="1"/>
      <protection/>
    </xf>
    <xf numFmtId="49" fontId="5" fillId="32" borderId="12" xfId="0" applyNumberFormat="1" applyFont="1" applyFill="1" applyBorder="1" applyAlignment="1" applyProtection="1">
      <alignment horizontal="center" vertical="center" wrapText="1"/>
      <protection/>
    </xf>
    <xf numFmtId="49" fontId="9" fillId="32" borderId="25" xfId="0" applyNumberFormat="1" applyFont="1" applyFill="1" applyBorder="1" applyAlignment="1" applyProtection="1">
      <alignment horizontal="right" vertical="center"/>
      <protection/>
    </xf>
    <xf numFmtId="49" fontId="9" fillId="32" borderId="104" xfId="0" applyNumberFormat="1" applyFont="1" applyFill="1" applyBorder="1" applyAlignment="1" applyProtection="1">
      <alignment horizontal="right" vertical="center"/>
      <protection/>
    </xf>
    <xf numFmtId="49" fontId="5" fillId="32" borderId="13" xfId="0" applyNumberFormat="1" applyFont="1" applyFill="1" applyBorder="1" applyAlignment="1" applyProtection="1">
      <alignment horizontal="left" vertical="center" wrapText="1"/>
      <protection/>
    </xf>
    <xf numFmtId="49" fontId="5" fillId="32" borderId="28" xfId="0" applyNumberFormat="1" applyFont="1" applyFill="1" applyBorder="1" applyAlignment="1" applyProtection="1">
      <alignment horizontal="left" vertical="center" wrapText="1"/>
      <protection/>
    </xf>
    <xf numFmtId="49" fontId="5" fillId="32" borderId="10" xfId="0" applyNumberFormat="1" applyFont="1" applyFill="1" applyBorder="1" applyAlignment="1" applyProtection="1">
      <alignment horizontal="center" vertical="center"/>
      <protection/>
    </xf>
    <xf numFmtId="49" fontId="5" fillId="32" borderId="40" xfId="0" applyNumberFormat="1" applyFont="1" applyFill="1" applyBorder="1" applyAlignment="1" applyProtection="1">
      <alignment vertical="center"/>
      <protection/>
    </xf>
    <xf numFmtId="49" fontId="5" fillId="32" borderId="0" xfId="0" applyNumberFormat="1" applyFont="1" applyFill="1" applyBorder="1" applyAlignment="1" applyProtection="1">
      <alignment horizontal="left" vertical="center" wrapText="1"/>
      <protection/>
    </xf>
    <xf numFmtId="0" fontId="1" fillId="32" borderId="40" xfId="0" applyFont="1" applyFill="1" applyBorder="1" applyAlignment="1" applyProtection="1">
      <alignment vertical="center"/>
      <protection/>
    </xf>
    <xf numFmtId="0" fontId="1" fillId="32" borderId="117" xfId="0" applyFont="1" applyFill="1" applyBorder="1" applyAlignment="1" applyProtection="1">
      <alignment vertical="center"/>
      <protection/>
    </xf>
    <xf numFmtId="49" fontId="5" fillId="32" borderId="28" xfId="0" applyNumberFormat="1" applyFont="1" applyFill="1" applyBorder="1" applyAlignment="1" applyProtection="1">
      <alignment horizontal="left" vertical="center"/>
      <protection/>
    </xf>
    <xf numFmtId="9" fontId="5" fillId="32" borderId="12" xfId="42" applyFont="1" applyFill="1" applyBorder="1" applyAlignment="1" applyProtection="1">
      <alignment horizontal="right" vertical="center"/>
      <protection/>
    </xf>
    <xf numFmtId="0" fontId="1" fillId="32" borderId="12" xfId="0" applyFont="1" applyFill="1" applyBorder="1" applyAlignment="1" applyProtection="1">
      <alignment vertical="center"/>
      <protection/>
    </xf>
    <xf numFmtId="0" fontId="1" fillId="32" borderId="104" xfId="0" applyFont="1" applyFill="1" applyBorder="1" applyAlignment="1" applyProtection="1">
      <alignment vertical="center"/>
      <protection/>
    </xf>
    <xf numFmtId="9" fontId="5" fillId="32" borderId="11" xfId="42" applyFont="1" applyFill="1" applyBorder="1" applyAlignment="1" applyProtection="1">
      <alignment horizontal="right" vertical="center"/>
      <protection/>
    </xf>
    <xf numFmtId="0" fontId="1" fillId="32" borderId="12" xfId="0" applyFont="1" applyFill="1" applyBorder="1" applyAlignment="1" applyProtection="1">
      <alignment horizontal="right" vertical="center"/>
      <protection/>
    </xf>
    <xf numFmtId="0" fontId="1" fillId="32" borderId="24" xfId="0" applyFont="1" applyFill="1" applyBorder="1" applyAlignment="1" applyProtection="1">
      <alignment vertical="center"/>
      <protection/>
    </xf>
    <xf numFmtId="0" fontId="1" fillId="32" borderId="40" xfId="0" applyFont="1" applyFill="1" applyBorder="1" applyAlignment="1" applyProtection="1">
      <alignment vertical="center"/>
      <protection/>
    </xf>
    <xf numFmtId="49" fontId="5" fillId="32" borderId="141" xfId="0" applyNumberFormat="1" applyFont="1" applyFill="1" applyBorder="1" applyAlignment="1" applyProtection="1">
      <alignment horizontal="left" vertical="center"/>
      <protection/>
    </xf>
    <xf numFmtId="49" fontId="5" fillId="32" borderId="171" xfId="0" applyNumberFormat="1" applyFont="1" applyFill="1" applyBorder="1" applyAlignment="1" applyProtection="1">
      <alignment horizontal="left" vertical="center"/>
      <protection/>
    </xf>
    <xf numFmtId="49" fontId="5" fillId="32" borderId="142" xfId="0" applyNumberFormat="1" applyFont="1" applyFill="1" applyBorder="1" applyAlignment="1" applyProtection="1">
      <alignment horizontal="left" vertical="center"/>
      <protection/>
    </xf>
    <xf numFmtId="49" fontId="5" fillId="32" borderId="143" xfId="0" applyNumberFormat="1" applyFont="1" applyFill="1" applyBorder="1" applyAlignment="1" applyProtection="1">
      <alignment horizontal="left" vertical="center"/>
      <protection/>
    </xf>
    <xf numFmtId="49" fontId="5" fillId="32" borderId="172" xfId="0" applyNumberFormat="1" applyFont="1" applyFill="1" applyBorder="1" applyAlignment="1" applyProtection="1">
      <alignment horizontal="left" vertical="center"/>
      <protection/>
    </xf>
    <xf numFmtId="186" fontId="1" fillId="32" borderId="100" xfId="0" applyNumberFormat="1" applyFont="1" applyFill="1" applyBorder="1" applyAlignment="1" applyProtection="1">
      <alignment horizontal="right" vertical="center"/>
      <protection locked="0"/>
    </xf>
    <xf numFmtId="186" fontId="1" fillId="32" borderId="99" xfId="0" applyNumberFormat="1" applyFont="1" applyFill="1" applyBorder="1" applyAlignment="1" applyProtection="1">
      <alignment horizontal="right" vertical="center"/>
      <protection locked="0"/>
    </xf>
    <xf numFmtId="49" fontId="5" fillId="32" borderId="83" xfId="0" applyNumberFormat="1" applyFont="1" applyFill="1" applyBorder="1" applyAlignment="1" applyProtection="1">
      <alignment horizontal="center" vertical="center"/>
      <protection/>
    </xf>
    <xf numFmtId="186" fontId="1" fillId="32" borderId="173" xfId="0" applyNumberFormat="1" applyFont="1" applyFill="1" applyBorder="1" applyAlignment="1" applyProtection="1">
      <alignment horizontal="right" vertical="center"/>
      <protection locked="0"/>
    </xf>
    <xf numFmtId="0" fontId="9" fillId="32" borderId="166" xfId="0" applyNumberFormat="1" applyFont="1" applyFill="1" applyBorder="1" applyAlignment="1" applyProtection="1">
      <alignment horizontal="right" vertical="center"/>
      <protection/>
    </xf>
    <xf numFmtId="0" fontId="9" fillId="32" borderId="120" xfId="0" applyNumberFormat="1" applyFont="1" applyFill="1" applyBorder="1" applyAlignment="1" applyProtection="1">
      <alignment horizontal="right" vertical="center"/>
      <protection/>
    </xf>
    <xf numFmtId="0" fontId="9" fillId="32" borderId="174" xfId="0" applyNumberFormat="1" applyFont="1" applyFill="1" applyBorder="1" applyAlignment="1" applyProtection="1">
      <alignment horizontal="right" vertical="center"/>
      <protection/>
    </xf>
    <xf numFmtId="49" fontId="9" fillId="32" borderId="166" xfId="0" applyNumberFormat="1" applyFont="1" applyFill="1" applyBorder="1" applyAlignment="1" applyProtection="1">
      <alignment horizontal="right" vertical="top"/>
      <protection/>
    </xf>
    <xf numFmtId="49" fontId="9" fillId="32" borderId="120" xfId="0" applyNumberFormat="1" applyFont="1" applyFill="1" applyBorder="1" applyAlignment="1" applyProtection="1">
      <alignment horizontal="right" vertical="top"/>
      <protection/>
    </xf>
    <xf numFmtId="49" fontId="9" fillId="32" borderId="167" xfId="0" applyNumberFormat="1" applyFont="1" applyFill="1" applyBorder="1" applyAlignment="1" applyProtection="1">
      <alignment horizontal="right" vertical="top"/>
      <protection/>
    </xf>
    <xf numFmtId="0" fontId="5" fillId="32" borderId="18" xfId="42" applyNumberFormat="1" applyFont="1" applyFill="1" applyBorder="1" applyAlignment="1" applyProtection="1">
      <alignment horizontal="right" vertical="center"/>
      <protection/>
    </xf>
    <xf numFmtId="0" fontId="5" fillId="32" borderId="0" xfId="42" applyNumberFormat="1" applyFont="1" applyFill="1" applyBorder="1" applyAlignment="1" applyProtection="1">
      <alignment horizontal="right" vertical="center"/>
      <protection/>
    </xf>
    <xf numFmtId="176" fontId="1" fillId="32" borderId="113" xfId="0" applyNumberFormat="1" applyFont="1" applyFill="1" applyBorder="1" applyAlignment="1" applyProtection="1">
      <alignment horizontal="right" vertical="center"/>
      <protection locked="0"/>
    </xf>
    <xf numFmtId="176" fontId="1" fillId="32" borderId="114" xfId="0" applyNumberFormat="1" applyFont="1" applyFill="1" applyBorder="1" applyAlignment="1" applyProtection="1">
      <alignment horizontal="right" vertical="center"/>
      <protection locked="0"/>
    </xf>
    <xf numFmtId="176" fontId="1" fillId="32" borderId="115" xfId="0" applyNumberFormat="1" applyFont="1" applyFill="1" applyBorder="1" applyAlignment="1" applyProtection="1">
      <alignment horizontal="right" vertical="center"/>
      <protection locked="0"/>
    </xf>
    <xf numFmtId="49" fontId="5" fillId="32" borderId="11" xfId="0" applyNumberFormat="1" applyFont="1" applyFill="1" applyBorder="1" applyAlignment="1" applyProtection="1">
      <alignment horizontal="right" vertical="top"/>
      <protection/>
    </xf>
    <xf numFmtId="49" fontId="5" fillId="32" borderId="12" xfId="0" applyNumberFormat="1" applyFont="1" applyFill="1" applyBorder="1" applyAlignment="1" applyProtection="1">
      <alignment horizontal="right" vertical="top"/>
      <protection/>
    </xf>
    <xf numFmtId="49" fontId="5" fillId="32" borderId="26" xfId="0" applyNumberFormat="1" applyFont="1" applyFill="1" applyBorder="1" applyAlignment="1" applyProtection="1">
      <alignment horizontal="right" vertical="top"/>
      <protection/>
    </xf>
    <xf numFmtId="49" fontId="5" fillId="32" borderId="25" xfId="0" applyNumberFormat="1" applyFont="1" applyFill="1" applyBorder="1" applyAlignment="1" applyProtection="1">
      <alignment horizontal="right" vertical="top"/>
      <protection/>
    </xf>
    <xf numFmtId="49" fontId="5" fillId="32" borderId="104" xfId="0" applyNumberFormat="1" applyFont="1" applyFill="1" applyBorder="1" applyAlignment="1" applyProtection="1">
      <alignment horizontal="right" vertical="top"/>
      <protection/>
    </xf>
    <xf numFmtId="176" fontId="1" fillId="32" borderId="119" xfId="0" applyNumberFormat="1" applyFont="1" applyFill="1" applyBorder="1" applyAlignment="1" applyProtection="1">
      <alignment horizontal="right" vertical="center"/>
      <protection locked="0"/>
    </xf>
    <xf numFmtId="176" fontId="1" fillId="32" borderId="120" xfId="0" applyNumberFormat="1" applyFont="1" applyFill="1" applyBorder="1" applyAlignment="1" applyProtection="1">
      <alignment horizontal="right" vertical="center"/>
      <protection locked="0"/>
    </xf>
    <xf numFmtId="176" fontId="1" fillId="32" borderId="121" xfId="0" applyNumberFormat="1" applyFont="1" applyFill="1" applyBorder="1" applyAlignment="1" applyProtection="1">
      <alignment horizontal="right" vertical="center"/>
      <protection locked="0"/>
    </xf>
    <xf numFmtId="181" fontId="1" fillId="32" borderId="133" xfId="0" applyNumberFormat="1" applyFont="1" applyFill="1" applyBorder="1" applyAlignment="1" applyProtection="1">
      <alignment horizontal="right" vertical="center"/>
      <protection/>
    </xf>
    <xf numFmtId="49" fontId="5" fillId="32" borderId="18"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center" vertical="center"/>
      <protection/>
    </xf>
    <xf numFmtId="49" fontId="5" fillId="32" borderId="118" xfId="0" applyNumberFormat="1" applyFont="1" applyFill="1" applyBorder="1" applyAlignment="1" applyProtection="1">
      <alignment horizontal="center" vertical="center"/>
      <protection/>
    </xf>
    <xf numFmtId="176" fontId="1" fillId="32" borderId="144" xfId="0" applyNumberFormat="1" applyFont="1" applyFill="1" applyBorder="1" applyAlignment="1" applyProtection="1">
      <alignment horizontal="right" vertical="center"/>
      <protection locked="0"/>
    </xf>
    <xf numFmtId="176" fontId="1" fillId="32" borderId="15" xfId="0" applyNumberFormat="1" applyFont="1" applyFill="1" applyBorder="1" applyAlignment="1" applyProtection="1">
      <alignment horizontal="right" vertical="center"/>
      <protection locked="0"/>
    </xf>
    <xf numFmtId="176" fontId="1" fillId="32" borderId="145" xfId="0" applyNumberFormat="1" applyFont="1" applyFill="1" applyBorder="1" applyAlignment="1" applyProtection="1">
      <alignment horizontal="right" vertical="center"/>
      <protection locked="0"/>
    </xf>
    <xf numFmtId="49" fontId="5" fillId="32" borderId="29" xfId="0" applyNumberFormat="1" applyFont="1" applyFill="1" applyBorder="1" applyAlignment="1" applyProtection="1">
      <alignment horizontal="distributed" vertical="distributed"/>
      <protection/>
    </xf>
    <xf numFmtId="49" fontId="5" fillId="32" borderId="17" xfId="0" applyNumberFormat="1" applyFont="1" applyFill="1" applyBorder="1" applyAlignment="1" applyProtection="1">
      <alignment horizontal="distributed" vertical="center"/>
      <protection/>
    </xf>
    <xf numFmtId="49" fontId="1" fillId="32" borderId="29" xfId="0" applyNumberFormat="1" applyFont="1" applyFill="1" applyBorder="1" applyAlignment="1" applyProtection="1">
      <alignment vertical="center" shrinkToFit="1"/>
      <protection/>
    </xf>
    <xf numFmtId="9" fontId="5" fillId="32" borderId="134" xfId="42" applyFont="1" applyFill="1" applyBorder="1" applyAlignment="1" applyProtection="1">
      <alignment horizontal="right" vertical="center"/>
      <protection/>
    </xf>
    <xf numFmtId="0" fontId="1" fillId="32" borderId="0" xfId="0" applyFont="1" applyFill="1" applyBorder="1" applyAlignment="1" applyProtection="1">
      <alignment horizontal="right" vertical="center"/>
      <protection/>
    </xf>
    <xf numFmtId="0" fontId="1" fillId="32" borderId="38" xfId="0" applyFont="1" applyFill="1" applyBorder="1" applyAlignment="1" applyProtection="1">
      <alignment horizontal="right" vertical="center"/>
      <protection/>
    </xf>
    <xf numFmtId="0" fontId="1" fillId="32" borderId="17" xfId="0" applyFont="1" applyFill="1" applyBorder="1" applyAlignment="1" applyProtection="1">
      <alignment vertical="center"/>
      <protection/>
    </xf>
    <xf numFmtId="0" fontId="1" fillId="32" borderId="32" xfId="0" applyFont="1" applyFill="1" applyBorder="1" applyAlignment="1" applyProtection="1">
      <alignment vertical="center"/>
      <protection/>
    </xf>
    <xf numFmtId="181" fontId="1" fillId="32" borderId="23" xfId="0" applyNumberFormat="1" applyFont="1" applyFill="1" applyBorder="1" applyAlignment="1" applyProtection="1">
      <alignment horizontal="right" vertical="center"/>
      <protection/>
    </xf>
    <xf numFmtId="181" fontId="1" fillId="32" borderId="128" xfId="0" applyNumberFormat="1" applyFont="1" applyFill="1" applyBorder="1" applyAlignment="1" applyProtection="1">
      <alignment horizontal="right" vertical="center"/>
      <protection/>
    </xf>
    <xf numFmtId="181" fontId="1" fillId="32" borderId="129" xfId="0" applyNumberFormat="1" applyFont="1" applyFill="1" applyBorder="1" applyAlignment="1" applyProtection="1">
      <alignment horizontal="right" vertical="center"/>
      <protection/>
    </xf>
    <xf numFmtId="181" fontId="1" fillId="32" borderId="147" xfId="0" applyNumberFormat="1" applyFont="1" applyFill="1" applyBorder="1" applyAlignment="1" applyProtection="1">
      <alignment horizontal="right" vertical="center"/>
      <protection/>
    </xf>
    <xf numFmtId="9" fontId="5" fillId="32" borderId="0" xfId="42" applyFont="1" applyFill="1" applyBorder="1" applyAlignment="1" applyProtection="1">
      <alignment horizontal="right" vertical="center"/>
      <protection/>
    </xf>
    <xf numFmtId="9" fontId="5" fillId="32" borderId="38" xfId="42" applyFont="1" applyFill="1" applyBorder="1" applyAlignment="1" applyProtection="1">
      <alignment horizontal="right" vertical="center"/>
      <protection/>
    </xf>
    <xf numFmtId="179" fontId="1" fillId="32" borderId="154" xfId="0" applyNumberFormat="1" applyFont="1" applyFill="1" applyBorder="1" applyAlignment="1" applyProtection="1">
      <alignment horizontal="right" vertical="center"/>
      <protection locked="0"/>
    </xf>
    <xf numFmtId="179" fontId="1" fillId="32" borderId="10" xfId="0" applyNumberFormat="1" applyFont="1" applyFill="1" applyBorder="1" applyAlignment="1" applyProtection="1">
      <alignment horizontal="right" vertical="center"/>
      <protection locked="0"/>
    </xf>
    <xf numFmtId="179" fontId="1" fillId="32" borderId="155" xfId="0" applyNumberFormat="1" applyFont="1" applyFill="1" applyBorder="1" applyAlignment="1" applyProtection="1">
      <alignment horizontal="right" vertical="center"/>
      <protection locked="0"/>
    </xf>
    <xf numFmtId="49" fontId="14" fillId="32" borderId="0" xfId="0" applyNumberFormat="1" applyFont="1" applyFill="1" applyBorder="1" applyAlignment="1" applyProtection="1">
      <alignment horizontal="center" vertical="center"/>
      <protection/>
    </xf>
    <xf numFmtId="49" fontId="5" fillId="32" borderId="140" xfId="0" applyNumberFormat="1" applyFont="1" applyFill="1" applyBorder="1" applyAlignment="1" applyProtection="1">
      <alignment vertical="center" wrapText="1"/>
      <protection/>
    </xf>
    <xf numFmtId="49" fontId="5" fillId="32" borderId="141" xfId="0" applyNumberFormat="1" applyFont="1" applyFill="1" applyBorder="1" applyAlignment="1" applyProtection="1">
      <alignment vertical="center" wrapText="1"/>
      <protection/>
    </xf>
    <xf numFmtId="49" fontId="5" fillId="32" borderId="142" xfId="0" applyNumberFormat="1" applyFont="1" applyFill="1" applyBorder="1" applyAlignment="1" applyProtection="1">
      <alignment vertical="center" wrapText="1"/>
      <protection/>
    </xf>
    <xf numFmtId="49" fontId="5" fillId="32" borderId="143" xfId="0" applyNumberFormat="1" applyFont="1" applyFill="1" applyBorder="1" applyAlignment="1" applyProtection="1">
      <alignment vertical="center" wrapText="1"/>
      <protection/>
    </xf>
    <xf numFmtId="49" fontId="1" fillId="0" borderId="0" xfId="0" applyNumberFormat="1" applyFont="1" applyFill="1" applyAlignment="1" applyProtection="1">
      <alignment horizontal="right" vertical="center" shrinkToFit="1"/>
      <protection locked="0"/>
    </xf>
    <xf numFmtId="49" fontId="5" fillId="32" borderId="25" xfId="0" applyNumberFormat="1" applyFont="1" applyFill="1" applyBorder="1" applyAlignment="1" applyProtection="1">
      <alignment horizontal="center" vertical="center" wrapText="1"/>
      <protection/>
    </xf>
    <xf numFmtId="49" fontId="5" fillId="32" borderId="104" xfId="0" applyNumberFormat="1" applyFont="1" applyFill="1" applyBorder="1" applyAlignment="1" applyProtection="1">
      <alignment horizontal="center" vertical="center" wrapText="1"/>
      <protection/>
    </xf>
    <xf numFmtId="49" fontId="5" fillId="32" borderId="18" xfId="0" applyNumberFormat="1" applyFont="1" applyFill="1" applyBorder="1" applyAlignment="1" applyProtection="1">
      <alignment horizontal="center" vertical="center" wrapText="1"/>
      <protection/>
    </xf>
    <xf numFmtId="49" fontId="5" fillId="32" borderId="118" xfId="0" applyNumberFormat="1" applyFont="1" applyFill="1" applyBorder="1" applyAlignment="1" applyProtection="1">
      <alignment horizontal="center" vertical="center" wrapText="1"/>
      <protection/>
    </xf>
    <xf numFmtId="49" fontId="5" fillId="32" borderId="39" xfId="0" applyNumberFormat="1" applyFont="1" applyFill="1" applyBorder="1" applyAlignment="1" applyProtection="1">
      <alignment horizontal="center" vertical="center" wrapText="1"/>
      <protection/>
    </xf>
    <xf numFmtId="49" fontId="5" fillId="32" borderId="117" xfId="0" applyNumberFormat="1" applyFont="1" applyFill="1" applyBorder="1" applyAlignment="1" applyProtection="1">
      <alignment horizontal="center" vertical="center" wrapText="1"/>
      <protection/>
    </xf>
    <xf numFmtId="49" fontId="5" fillId="32" borderId="12" xfId="0" applyNumberFormat="1" applyFont="1" applyFill="1" applyBorder="1" applyAlignment="1" applyProtection="1">
      <alignment horizontal="distributed" vertical="center"/>
      <protection/>
    </xf>
    <xf numFmtId="199" fontId="1" fillId="32" borderId="111" xfId="0" applyNumberFormat="1" applyFont="1" applyFill="1" applyBorder="1" applyAlignment="1" applyProtection="1">
      <alignment horizontal="right" vertical="center"/>
      <protection locked="0"/>
    </xf>
    <xf numFmtId="199" fontId="1" fillId="32" borderId="29" xfId="0" applyNumberFormat="1" applyFont="1" applyFill="1" applyBorder="1" applyAlignment="1" applyProtection="1">
      <alignment horizontal="right" vertical="center"/>
      <protection locked="0"/>
    </xf>
    <xf numFmtId="199" fontId="1" fillId="32" borderId="112" xfId="0" applyNumberFormat="1" applyFont="1" applyFill="1" applyBorder="1" applyAlignment="1" applyProtection="1">
      <alignment horizontal="right" vertical="center"/>
      <protection locked="0"/>
    </xf>
    <xf numFmtId="181" fontId="1" fillId="32" borderId="32" xfId="0" applyNumberFormat="1" applyFont="1" applyFill="1" applyBorder="1" applyAlignment="1" applyProtection="1">
      <alignment horizontal="right" vertical="center"/>
      <protection/>
    </xf>
    <xf numFmtId="0" fontId="9" fillId="32" borderId="0" xfId="42" applyNumberFormat="1" applyFont="1" applyFill="1" applyBorder="1" applyAlignment="1" applyProtection="1">
      <alignment horizontal="right" vertical="center"/>
      <protection/>
    </xf>
    <xf numFmtId="0" fontId="9" fillId="32" borderId="118" xfId="42" applyNumberFormat="1" applyFont="1" applyFill="1" applyBorder="1" applyAlignment="1" applyProtection="1">
      <alignment horizontal="right" vertical="center"/>
      <protection/>
    </xf>
    <xf numFmtId="49" fontId="5" fillId="32" borderId="28" xfId="0" applyNumberFormat="1" applyFont="1" applyFill="1" applyBorder="1" applyAlignment="1" applyProtection="1">
      <alignment horizontal="distributed" vertical="center"/>
      <protection/>
    </xf>
    <xf numFmtId="9" fontId="5" fillId="32" borderId="18" xfId="42" applyFont="1" applyFill="1" applyBorder="1" applyAlignment="1" applyProtection="1">
      <alignment horizontal="right" vertical="center"/>
      <protection/>
    </xf>
    <xf numFmtId="0" fontId="1" fillId="32" borderId="0" xfId="0" applyFont="1" applyFill="1" applyBorder="1" applyAlignment="1" applyProtection="1">
      <alignment vertical="center"/>
      <protection/>
    </xf>
    <xf numFmtId="0" fontId="1" fillId="32" borderId="118" xfId="0" applyFont="1" applyFill="1" applyBorder="1" applyAlignment="1" applyProtection="1">
      <alignment vertical="center"/>
      <protection/>
    </xf>
    <xf numFmtId="0" fontId="0" fillId="0" borderId="0" xfId="0" applyAlignment="1">
      <alignment vertical="center" wrapText="1"/>
    </xf>
    <xf numFmtId="0" fontId="5" fillId="32" borderId="25" xfId="0" applyNumberFormat="1" applyFont="1" applyFill="1" applyBorder="1" applyAlignment="1" applyProtection="1">
      <alignment horizontal="right" vertical="top"/>
      <protection/>
    </xf>
    <xf numFmtId="0" fontId="5" fillId="32" borderId="12" xfId="0" applyNumberFormat="1" applyFont="1" applyFill="1" applyBorder="1" applyAlignment="1" applyProtection="1">
      <alignment horizontal="right" vertical="top"/>
      <protection/>
    </xf>
    <xf numFmtId="0" fontId="5" fillId="32" borderId="104" xfId="0" applyNumberFormat="1" applyFont="1" applyFill="1" applyBorder="1" applyAlignment="1" applyProtection="1">
      <alignment horizontal="right" vertical="top"/>
      <protection/>
    </xf>
    <xf numFmtId="176" fontId="1" fillId="32" borderId="138" xfId="0" applyNumberFormat="1" applyFont="1" applyFill="1" applyBorder="1" applyAlignment="1" applyProtection="1">
      <alignment horizontal="right" vertical="center"/>
      <protection locked="0"/>
    </xf>
    <xf numFmtId="176" fontId="1" fillId="32" borderId="17" xfId="0" applyNumberFormat="1" applyFont="1" applyFill="1" applyBorder="1" applyAlignment="1" applyProtection="1">
      <alignment horizontal="right" vertical="center"/>
      <protection locked="0"/>
    </xf>
    <xf numFmtId="176" fontId="1" fillId="32" borderId="139" xfId="0" applyNumberFormat="1" applyFont="1" applyFill="1" applyBorder="1" applyAlignment="1" applyProtection="1">
      <alignment horizontal="right" vertical="center"/>
      <protection locked="0"/>
    </xf>
    <xf numFmtId="189" fontId="1" fillId="32" borderId="160" xfId="0" applyNumberFormat="1" applyFont="1" applyFill="1" applyBorder="1" applyAlignment="1" applyProtection="1">
      <alignment vertical="center"/>
      <protection/>
    </xf>
    <xf numFmtId="189" fontId="1" fillId="32" borderId="129" xfId="0" applyNumberFormat="1" applyFont="1" applyFill="1" applyBorder="1" applyAlignment="1" applyProtection="1">
      <alignment vertical="center"/>
      <protection/>
    </xf>
    <xf numFmtId="0" fontId="1" fillId="32" borderId="175" xfId="0" applyFont="1" applyFill="1" applyBorder="1" applyAlignment="1" applyProtection="1">
      <alignment horizontal="right" vertical="center"/>
      <protection/>
    </xf>
    <xf numFmtId="0" fontId="1" fillId="32" borderId="176" xfId="0" applyFont="1" applyFill="1" applyBorder="1" applyAlignment="1" applyProtection="1">
      <alignment horizontal="right" vertical="center"/>
      <protection/>
    </xf>
    <xf numFmtId="189" fontId="9" fillId="32" borderId="173" xfId="0" applyNumberFormat="1" applyFont="1" applyFill="1" applyBorder="1" applyAlignment="1" applyProtection="1">
      <alignment horizontal="center" vertical="center"/>
      <protection/>
    </xf>
    <xf numFmtId="189" fontId="9" fillId="32" borderId="100" xfId="0" applyNumberFormat="1" applyFont="1" applyFill="1" applyBorder="1" applyAlignment="1" applyProtection="1">
      <alignment horizontal="center" vertical="center"/>
      <protection/>
    </xf>
    <xf numFmtId="0" fontId="1" fillId="32" borderId="175" xfId="0" applyFont="1" applyFill="1" applyBorder="1" applyAlignment="1" applyProtection="1">
      <alignment horizontal="center" vertical="center"/>
      <protection/>
    </xf>
    <xf numFmtId="0" fontId="1" fillId="32" borderId="176" xfId="0" applyFont="1" applyFill="1" applyBorder="1" applyAlignment="1" applyProtection="1">
      <alignment horizontal="center" vertical="center"/>
      <protection/>
    </xf>
    <xf numFmtId="9" fontId="5" fillId="32" borderId="26" xfId="42" applyFont="1" applyFill="1" applyBorder="1" applyAlignment="1" applyProtection="1">
      <alignment horizontal="right" vertical="center"/>
      <protection/>
    </xf>
    <xf numFmtId="49" fontId="5" fillId="32" borderId="157" xfId="0" applyNumberFormat="1" applyFont="1" applyFill="1" applyBorder="1" applyAlignment="1" applyProtection="1">
      <alignment horizontal="center" vertical="center"/>
      <protection/>
    </xf>
    <xf numFmtId="0" fontId="0" fillId="33" borderId="25" xfId="0" applyFill="1" applyBorder="1" applyAlignment="1">
      <alignment horizontal="center" vertical="center"/>
    </xf>
    <xf numFmtId="0" fontId="0" fillId="33" borderId="12" xfId="0" applyFill="1" applyBorder="1" applyAlignment="1">
      <alignment horizontal="center" vertical="center"/>
    </xf>
    <xf numFmtId="0" fontId="0" fillId="33" borderId="26"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30" xfId="0" applyFill="1" applyBorder="1" applyAlignment="1">
      <alignment horizontal="center" vertical="center"/>
    </xf>
    <xf numFmtId="0" fontId="19" fillId="5" borderId="177" xfId="0" applyFont="1" applyFill="1" applyBorder="1" applyAlignment="1">
      <alignment horizontal="center" vertical="center"/>
    </xf>
    <xf numFmtId="0" fontId="19" fillId="5" borderId="178" xfId="0" applyFont="1" applyFill="1" applyBorder="1" applyAlignment="1">
      <alignment horizontal="center" vertical="center"/>
    </xf>
    <xf numFmtId="0" fontId="19" fillId="5" borderId="179" xfId="0" applyFont="1" applyFill="1" applyBorder="1" applyAlignment="1">
      <alignment horizontal="center" vertical="center"/>
    </xf>
    <xf numFmtId="0" fontId="19" fillId="5" borderId="180" xfId="0" applyFont="1" applyFill="1" applyBorder="1" applyAlignment="1">
      <alignment horizontal="center" vertical="center"/>
    </xf>
    <xf numFmtId="0" fontId="19" fillId="5" borderId="181" xfId="0" applyFont="1" applyFill="1" applyBorder="1" applyAlignment="1">
      <alignment horizontal="center" vertical="center"/>
    </xf>
    <xf numFmtId="0" fontId="19" fillId="5" borderId="182" xfId="0" applyFont="1" applyFill="1" applyBorder="1" applyAlignment="1">
      <alignment horizontal="center" vertical="center"/>
    </xf>
    <xf numFmtId="0" fontId="11" fillId="32" borderId="0" xfId="43" applyFill="1" applyAlignment="1" applyProtection="1">
      <alignment horizontal="center" vertical="center" wrapText="1"/>
      <protection locked="0"/>
    </xf>
    <xf numFmtId="0" fontId="0" fillId="34" borderId="25" xfId="0" applyFill="1" applyBorder="1" applyAlignment="1">
      <alignment horizontal="center" vertical="center"/>
    </xf>
    <xf numFmtId="0" fontId="0" fillId="34" borderId="12" xfId="0" applyFill="1" applyBorder="1" applyAlignment="1">
      <alignment horizontal="center" vertical="center"/>
    </xf>
    <xf numFmtId="0" fontId="0" fillId="34" borderId="26"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0" xfId="0" applyFill="1" applyBorder="1" applyAlignment="1">
      <alignment horizontal="center" vertical="center"/>
    </xf>
    <xf numFmtId="49" fontId="0" fillId="32" borderId="25" xfId="0" applyNumberFormat="1" applyFill="1" applyBorder="1" applyAlignment="1">
      <alignment vertical="center" wrapText="1"/>
    </xf>
    <xf numFmtId="49" fontId="0" fillId="32" borderId="12" xfId="0" applyNumberFormat="1" applyFill="1" applyBorder="1" applyAlignment="1">
      <alignment vertical="center" wrapText="1"/>
    </xf>
    <xf numFmtId="49" fontId="0" fillId="32" borderId="26" xfId="0" applyNumberFormat="1" applyFill="1" applyBorder="1" applyAlignment="1">
      <alignment vertical="center" wrapText="1"/>
    </xf>
    <xf numFmtId="49" fontId="0" fillId="32" borderId="18" xfId="0" applyNumberFormat="1" applyFill="1" applyBorder="1" applyAlignment="1">
      <alignment vertical="center" wrapText="1"/>
    </xf>
    <xf numFmtId="49" fontId="0" fillId="32" borderId="0" xfId="0" applyNumberFormat="1" applyFill="1" applyBorder="1" applyAlignment="1">
      <alignment vertical="center" wrapText="1"/>
    </xf>
    <xf numFmtId="49" fontId="0" fillId="32" borderId="38" xfId="0" applyNumberFormat="1" applyFill="1" applyBorder="1" applyAlignment="1">
      <alignment vertical="center" wrapText="1"/>
    </xf>
    <xf numFmtId="0" fontId="0" fillId="32" borderId="25" xfId="0" applyFill="1" applyBorder="1" applyAlignment="1">
      <alignment vertical="center" wrapText="1"/>
    </xf>
    <xf numFmtId="0" fontId="0" fillId="32" borderId="12" xfId="0" applyFill="1" applyBorder="1" applyAlignment="1">
      <alignment vertical="center" wrapText="1"/>
    </xf>
    <xf numFmtId="0" fontId="0" fillId="32" borderId="26" xfId="0" applyFill="1" applyBorder="1" applyAlignment="1">
      <alignment vertical="center" wrapText="1"/>
    </xf>
    <xf numFmtId="0" fontId="0" fillId="32" borderId="18" xfId="0" applyFill="1" applyBorder="1" applyAlignment="1">
      <alignment vertical="center" wrapText="1"/>
    </xf>
    <xf numFmtId="0" fontId="0" fillId="32" borderId="0" xfId="0" applyFill="1" applyBorder="1" applyAlignment="1">
      <alignment vertical="center" wrapText="1"/>
    </xf>
    <xf numFmtId="0" fontId="0" fillId="32" borderId="38" xfId="0" applyFill="1" applyBorder="1" applyAlignment="1">
      <alignment vertical="center" wrapText="1"/>
    </xf>
    <xf numFmtId="0" fontId="0" fillId="32" borderId="39" xfId="0" applyFill="1" applyBorder="1" applyAlignment="1">
      <alignment vertical="center" wrapText="1"/>
    </xf>
    <xf numFmtId="0" fontId="0" fillId="32" borderId="40" xfId="0" applyFill="1" applyBorder="1" applyAlignment="1">
      <alignment vertical="center" wrapText="1"/>
    </xf>
    <xf numFmtId="0" fontId="0" fillId="32" borderId="30" xfId="0" applyFill="1" applyBorder="1" applyAlignment="1">
      <alignment vertical="center" wrapText="1"/>
    </xf>
    <xf numFmtId="0" fontId="0" fillId="5" borderId="25" xfId="0" applyFill="1" applyBorder="1" applyAlignment="1">
      <alignment horizontal="center" vertical="center"/>
    </xf>
    <xf numFmtId="0" fontId="0" fillId="5" borderId="12" xfId="0" applyFill="1" applyBorder="1" applyAlignment="1">
      <alignment horizontal="center" vertical="center"/>
    </xf>
    <xf numFmtId="0" fontId="0" fillId="5" borderId="26"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5" borderId="30" xfId="0" applyFill="1" applyBorder="1" applyAlignment="1">
      <alignment horizontal="center" vertical="center"/>
    </xf>
    <xf numFmtId="0" fontId="19" fillId="34" borderId="0" xfId="0" applyFont="1" applyFill="1" applyBorder="1" applyAlignment="1">
      <alignment horizontal="center" vertical="center" wrapText="1"/>
    </xf>
    <xf numFmtId="0" fontId="19" fillId="34" borderId="0" xfId="0" applyFont="1" applyFill="1" applyBorder="1" applyAlignment="1">
      <alignment horizontal="center" vertical="center"/>
    </xf>
    <xf numFmtId="0" fontId="19" fillId="34" borderId="47" xfId="0" applyFont="1" applyFill="1" applyBorder="1" applyAlignment="1">
      <alignment horizontal="center" vertical="center"/>
    </xf>
    <xf numFmtId="0" fontId="21" fillId="0" borderId="0" xfId="43"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indexed="9"/>
      </font>
    </dxf>
    <dxf>
      <font>
        <color indexed="9"/>
      </font>
    </dxf>
    <dxf>
      <font>
        <color theme="0"/>
      </font>
    </dxf>
    <dxf>
      <font>
        <color theme="0"/>
      </font>
    </dxf>
    <dxf>
      <font>
        <color rgb="FFFF0000"/>
      </font>
    </dxf>
    <dxf>
      <font>
        <color theme="0"/>
      </font>
    </dxf>
    <dxf>
      <font>
        <color rgb="FFFF0000"/>
      </font>
    </dxf>
    <dxf>
      <font>
        <b/>
        <i val="0"/>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b val="0"/>
        <i val="0"/>
        <color theme="0"/>
      </font>
    </dxf>
    <dxf>
      <font>
        <color rgb="FFFF0000"/>
      </font>
    </dxf>
    <dxf>
      <font>
        <color theme="0"/>
      </font>
    </dxf>
    <dxf>
      <fill>
        <patternFill>
          <bgColor rgb="FFFFFF00"/>
        </patternFill>
      </fill>
    </dxf>
    <dxf>
      <font>
        <b/>
        <i val="0"/>
        <color rgb="FFFF0000"/>
      </font>
    </dxf>
    <dxf>
      <font>
        <b/>
        <i val="0"/>
        <color rgb="FFFF0000"/>
      </font>
      <border/>
    </dxf>
    <dxf>
      <font>
        <color theme="0"/>
      </font>
      <border/>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4.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3.emf" /><Relationship Id="rId6" Type="http://schemas.openxmlformats.org/officeDocument/2006/relationships/image" Target="../media/image17.emf" /><Relationship Id="rId7" Type="http://schemas.openxmlformats.org/officeDocument/2006/relationships/image" Target="../media/image8.emf" /><Relationship Id="rId8" Type="http://schemas.openxmlformats.org/officeDocument/2006/relationships/image" Target="../media/image19.emf" /><Relationship Id="rId9" Type="http://schemas.openxmlformats.org/officeDocument/2006/relationships/image" Target="../media/image1.emf" /><Relationship Id="rId10" Type="http://schemas.openxmlformats.org/officeDocument/2006/relationships/image" Target="../media/image22.emf" /><Relationship Id="rId11" Type="http://schemas.openxmlformats.org/officeDocument/2006/relationships/image" Target="../media/image7.emf" /><Relationship Id="rId12" Type="http://schemas.openxmlformats.org/officeDocument/2006/relationships/image" Target="../media/image3.emf" /><Relationship Id="rId13" Type="http://schemas.openxmlformats.org/officeDocument/2006/relationships/image" Target="../media/image5.emf" /><Relationship Id="rId14" Type="http://schemas.openxmlformats.org/officeDocument/2006/relationships/image" Target="../media/image21.emf" /><Relationship Id="rId15" Type="http://schemas.openxmlformats.org/officeDocument/2006/relationships/image" Target="../media/image4.emf" /><Relationship Id="rId16" Type="http://schemas.openxmlformats.org/officeDocument/2006/relationships/image" Target="../media/image23.emf" /><Relationship Id="rId17" Type="http://schemas.openxmlformats.org/officeDocument/2006/relationships/image" Target="../media/image16.emf" /><Relationship Id="rId18" Type="http://schemas.openxmlformats.org/officeDocument/2006/relationships/image" Target="../media/image20.emf" /><Relationship Id="rId19" Type="http://schemas.openxmlformats.org/officeDocument/2006/relationships/image" Target="../media/image18.emf" /><Relationship Id="rId20" Type="http://schemas.openxmlformats.org/officeDocument/2006/relationships/image" Target="../media/image12.emf" /><Relationship Id="rId21" Type="http://schemas.openxmlformats.org/officeDocument/2006/relationships/image" Target="../media/image14.emf" /><Relationship Id="rId22" Type="http://schemas.openxmlformats.org/officeDocument/2006/relationships/image" Target="../media/image2.emf" /><Relationship Id="rId23" Type="http://schemas.openxmlformats.org/officeDocument/2006/relationships/image" Target="../media/image6.emf" /><Relationship Id="rId24"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15</xdr:row>
      <xdr:rowOff>76200</xdr:rowOff>
    </xdr:from>
    <xdr:to>
      <xdr:col>30</xdr:col>
      <xdr:colOff>114300</xdr:colOff>
      <xdr:row>18</xdr:row>
      <xdr:rowOff>0</xdr:rowOff>
    </xdr:to>
    <xdr:grpSp>
      <xdr:nvGrpSpPr>
        <xdr:cNvPr id="1" name="Group 10"/>
        <xdr:cNvGrpSpPr>
          <a:grpSpLocks/>
        </xdr:cNvGrpSpPr>
      </xdr:nvGrpSpPr>
      <xdr:grpSpPr>
        <a:xfrm>
          <a:off x="4895850" y="3228975"/>
          <a:ext cx="2114550" cy="5524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33</xdr:row>
      <xdr:rowOff>28575</xdr:rowOff>
    </xdr:from>
    <xdr:to>
      <xdr:col>42</xdr:col>
      <xdr:colOff>66675</xdr:colOff>
      <xdr:row>35</xdr:row>
      <xdr:rowOff>171450</xdr:rowOff>
    </xdr:to>
    <xdr:grpSp>
      <xdr:nvGrpSpPr>
        <xdr:cNvPr id="4" name="Group 13"/>
        <xdr:cNvGrpSpPr>
          <a:grpSpLocks/>
        </xdr:cNvGrpSpPr>
      </xdr:nvGrpSpPr>
      <xdr:grpSpPr>
        <a:xfrm>
          <a:off x="5591175" y="6953250"/>
          <a:ext cx="3429000" cy="571500"/>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114300</xdr:colOff>
      <xdr:row>15</xdr:row>
      <xdr:rowOff>47625</xdr:rowOff>
    </xdr:from>
    <xdr:to>
      <xdr:col>31</xdr:col>
      <xdr:colOff>57150</xdr:colOff>
      <xdr:row>18</xdr:row>
      <xdr:rowOff>114300</xdr:rowOff>
    </xdr:to>
    <xdr:sp>
      <xdr:nvSpPr>
        <xdr:cNvPr id="7" name="角丸四角形 22"/>
        <xdr:cNvSpPr>
          <a:spLocks/>
        </xdr:cNvSpPr>
      </xdr:nvSpPr>
      <xdr:spPr>
        <a:xfrm>
          <a:off x="4610100" y="3200400"/>
          <a:ext cx="2514600" cy="69532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18</xdr:row>
      <xdr:rowOff>190500</xdr:rowOff>
    </xdr:from>
    <xdr:to>
      <xdr:col>3</xdr:col>
      <xdr:colOff>561975</xdr:colOff>
      <xdr:row>22</xdr:row>
      <xdr:rowOff>123825</xdr:rowOff>
    </xdr:to>
    <xdr:sp>
      <xdr:nvSpPr>
        <xdr:cNvPr id="8" name="線吹き出し 2 (枠付き) 23"/>
        <xdr:cNvSpPr>
          <a:spLocks/>
        </xdr:cNvSpPr>
      </xdr:nvSpPr>
      <xdr:spPr>
        <a:xfrm>
          <a:off x="19050" y="3971925"/>
          <a:ext cx="2371725" cy="771525"/>
        </a:xfrm>
        <a:prstGeom prst="borderCallout2">
          <a:avLst>
            <a:gd name="adj1" fmla="val 120449"/>
            <a:gd name="adj2" fmla="val -53708"/>
            <a:gd name="adj3" fmla="val 66606"/>
            <a:gd name="adj4" fmla="val -7750"/>
            <a:gd name="adj5" fmla="val 51745"/>
            <a:gd name="adj6" fmla="val 303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直近の決算期をご記載下さい。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なお、本報告書にご記載頂く計</a:t>
          </a:r>
          <a:r>
            <a:rPr lang="en-US" cap="none" sz="1000" b="0" i="0" u="none" baseline="0">
              <a:solidFill>
                <a:srgbClr val="000000"/>
              </a:solidFill>
            </a:rPr>
            <a:t>
</a:t>
          </a:r>
          <a:r>
            <a:rPr lang="en-US" cap="none" sz="1000" b="0" i="0" u="none" baseline="0">
              <a:solidFill>
                <a:srgbClr val="000000"/>
              </a:solidFill>
            </a:rPr>
            <a:t>　数等は</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a:t>
          </a:r>
          <a:r>
            <a:rPr lang="en-US" cap="none" sz="1000" b="0" i="0" u="none" baseline="0">
              <a:solidFill>
                <a:srgbClr val="000000"/>
              </a:solidFill>
            </a:rPr>
            <a:t>
</a:t>
          </a:r>
          <a:r>
            <a:rPr lang="en-US" cap="none" sz="1000" b="0" i="0" u="none" baseline="0">
              <a:solidFill>
                <a:srgbClr val="000000"/>
              </a:solidFill>
            </a:rPr>
            <a:t>　ますのでご注意下さい。</a:t>
          </a:r>
        </a:p>
      </xdr:txBody>
    </xdr:sp>
    <xdr:clientData fPrintsWithSheet="0"/>
  </xdr:twoCellAnchor>
  <xdr:twoCellAnchor>
    <xdr:from>
      <xdr:col>0</xdr:col>
      <xdr:colOff>19050</xdr:colOff>
      <xdr:row>1</xdr:row>
      <xdr:rowOff>19050</xdr:rowOff>
    </xdr:from>
    <xdr:to>
      <xdr:col>3</xdr:col>
      <xdr:colOff>561975</xdr:colOff>
      <xdr:row>9</xdr:row>
      <xdr:rowOff>76200</xdr:rowOff>
    </xdr:to>
    <xdr:sp>
      <xdr:nvSpPr>
        <xdr:cNvPr id="9" name="テキスト ボックス 3"/>
        <xdr:cNvSpPr txBox="1">
          <a:spLocks noChangeArrowheads="1"/>
        </xdr:cNvSpPr>
      </xdr:nvSpPr>
      <xdr:spPr>
        <a:xfrm>
          <a:off x="19050" y="228600"/>
          <a:ext cx="2371725" cy="17430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none"/>
        </a:ln>
      </xdr:spPr>
      <xdr:txBody>
        <a:bodyPr vertOverflow="clip" wrap="square" lIns="72000" tIns="45720" rIns="0" bIns="4572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記載上の注意（補足）</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以下の注意点を参考にご記載下さ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全ての記載が完了後、このファイル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を印刷し、登録行政庁にご提出下さい。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このコメント欄や確認ボタン等は</a:t>
          </a:r>
          <a:r>
            <a:rPr lang="en-US" cap="none" sz="1000" b="0" i="0" u="sng"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sng" baseline="0">
              <a:solidFill>
                <a:srgbClr val="000000"/>
              </a:solidFill>
              <a:latin typeface="ＭＳ ゴシック"/>
              <a:ea typeface="ＭＳ ゴシック"/>
              <a:cs typeface="ＭＳ ゴシック"/>
            </a:rPr>
            <a:t>非印刷設定となっています</a:t>
          </a:r>
          <a:r>
            <a:rPr lang="en-US" cap="none" sz="1000" b="0" i="0" u="none" baseline="0">
              <a:solidFill>
                <a:srgbClr val="000000"/>
              </a:solidFill>
              <a:latin typeface="ＭＳ ゴシック"/>
              <a:ea typeface="ＭＳ ゴシック"/>
              <a:cs typeface="ＭＳ ゴシック"/>
            </a:rPr>
            <a:t>。）</a:t>
          </a:r>
        </a:p>
      </xdr:txBody>
    </xdr:sp>
    <xdr:clientData fPrintsWithSheet="0"/>
  </xdr:twoCellAnchor>
  <xdr:twoCellAnchor>
    <xdr:from>
      <xdr:col>0</xdr:col>
      <xdr:colOff>19050</xdr:colOff>
      <xdr:row>10</xdr:row>
      <xdr:rowOff>0</xdr:rowOff>
    </xdr:from>
    <xdr:to>
      <xdr:col>3</xdr:col>
      <xdr:colOff>561975</xdr:colOff>
      <xdr:row>12</xdr:row>
      <xdr:rowOff>38100</xdr:rowOff>
    </xdr:to>
    <xdr:sp>
      <xdr:nvSpPr>
        <xdr:cNvPr id="10" name="線吹き出し 2 (枠付き) 25"/>
        <xdr:cNvSpPr>
          <a:spLocks/>
        </xdr:cNvSpPr>
      </xdr:nvSpPr>
      <xdr:spPr>
        <a:xfrm>
          <a:off x="19050" y="2105025"/>
          <a:ext cx="2371725" cy="457200"/>
        </a:xfrm>
        <a:prstGeom prst="borderCallout2">
          <a:avLst>
            <a:gd name="adj1" fmla="val 86546"/>
            <a:gd name="adj2" fmla="val -30851"/>
            <a:gd name="adj3" fmla="val 86143"/>
            <a:gd name="adj4" fmla="val 15958"/>
            <a:gd name="adj5" fmla="val 50402"/>
            <a:gd name="adj6" fmla="val 1170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7200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登録行政庁名をご記載下さい。</a:t>
          </a:r>
        </a:p>
      </xdr:txBody>
    </xdr:sp>
    <xdr:clientData fPrintsWithSheet="0"/>
  </xdr:twoCellAnchor>
  <xdr:twoCellAnchor>
    <xdr:from>
      <xdr:col>0</xdr:col>
      <xdr:colOff>0</xdr:colOff>
      <xdr:row>23</xdr:row>
      <xdr:rowOff>95250</xdr:rowOff>
    </xdr:from>
    <xdr:to>
      <xdr:col>3</xdr:col>
      <xdr:colOff>533400</xdr:colOff>
      <xdr:row>28</xdr:row>
      <xdr:rowOff>123825</xdr:rowOff>
    </xdr:to>
    <xdr:sp>
      <xdr:nvSpPr>
        <xdr:cNvPr id="11" name="線吹き出し 2 (枠付き) 26"/>
        <xdr:cNvSpPr>
          <a:spLocks/>
        </xdr:cNvSpPr>
      </xdr:nvSpPr>
      <xdr:spPr>
        <a:xfrm>
          <a:off x="0" y="4924425"/>
          <a:ext cx="2362200" cy="1076325"/>
        </a:xfrm>
        <a:prstGeom prst="borderCallout2">
          <a:avLst>
            <a:gd name="adj1" fmla="val 155620"/>
            <a:gd name="adj2" fmla="val -41226"/>
            <a:gd name="adj3" fmla="val 90162"/>
            <a:gd name="adj4" fmla="val -39472"/>
            <a:gd name="adj5" fmla="val 52009"/>
            <a:gd name="adj6" fmla="val -3947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④</a:t>
          </a:r>
          <a:r>
            <a:rPr lang="en-US" cap="none" sz="1000" b="0" i="0" u="none" baseline="0">
              <a:solidFill>
                <a:srgbClr val="000000"/>
              </a:solidFill>
            </a:rPr>
            <a:t> </a:t>
          </a:r>
          <a:r>
            <a:rPr lang="en-US" cap="none" sz="1000" b="0" i="0" u="none" baseline="0">
              <a:solidFill>
                <a:srgbClr val="000000"/>
              </a:solidFill>
            </a:rPr>
            <a:t>登録番号、住所、電話番号、商</a:t>
          </a:r>
          <a:r>
            <a:rPr lang="en-US" cap="none" sz="1000" b="0" i="0" u="none" baseline="0">
              <a:solidFill>
                <a:srgbClr val="000000"/>
              </a:solidFill>
            </a:rPr>
            <a:t>
</a:t>
          </a:r>
          <a:r>
            <a:rPr lang="en-US" cap="none" sz="1000" b="0" i="0" u="none" baseline="0">
              <a:solidFill>
                <a:srgbClr val="000000"/>
              </a:solidFill>
            </a:rPr>
            <a:t>　号又は名称、氏名等を漏れなくご</a:t>
          </a:r>
          <a:r>
            <a:rPr lang="en-US" cap="none" sz="1000" b="0" i="0" u="none" baseline="0">
              <a:solidFill>
                <a:srgbClr val="000000"/>
              </a:solidFill>
            </a:rPr>
            <a:t>
</a:t>
          </a:r>
          <a:r>
            <a:rPr lang="en-US" cap="none" sz="1000" b="0" i="0" u="none" baseline="0">
              <a:solidFill>
                <a:srgbClr val="000000"/>
              </a:solidFill>
            </a:rPr>
            <a:t>　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個人事業主で、商号又は名称と</a:t>
          </a:r>
          <a:r>
            <a:rPr lang="en-US" cap="none" sz="1000" b="0" i="0" u="none" baseline="0">
              <a:solidFill>
                <a:srgbClr val="000000"/>
              </a:solidFill>
            </a:rPr>
            <a:t>
</a:t>
          </a:r>
          <a:r>
            <a:rPr lang="en-US" cap="none" sz="1000" b="0" i="0" u="none" baseline="0">
              <a:solidFill>
                <a:srgbClr val="000000"/>
              </a:solidFill>
            </a:rPr>
            <a:t>　氏名が同一の場合であっても、必</a:t>
          </a:r>
          <a:r>
            <a:rPr lang="en-US" cap="none" sz="1000" b="0" i="0" u="none" baseline="0">
              <a:solidFill>
                <a:srgbClr val="000000"/>
              </a:solidFill>
            </a:rPr>
            <a:t>
</a:t>
          </a:r>
          <a:r>
            <a:rPr lang="en-US" cap="none" sz="1000" b="0" i="0" u="none" baseline="0">
              <a:solidFill>
                <a:srgbClr val="000000"/>
              </a:solidFill>
            </a:rPr>
            <a:t>　ず氏名もご記載下さい。</a:t>
          </a:r>
        </a:p>
      </xdr:txBody>
    </xdr:sp>
    <xdr:clientData fPrintsWithSheet="0"/>
  </xdr:twoCellAnchor>
  <xdr:twoCellAnchor editAs="absolute">
    <xdr:from>
      <xdr:col>19</xdr:col>
      <xdr:colOff>38100</xdr:colOff>
      <xdr:row>19</xdr:row>
      <xdr:rowOff>123825</xdr:rowOff>
    </xdr:from>
    <xdr:to>
      <xdr:col>43</xdr:col>
      <xdr:colOff>85725</xdr:colOff>
      <xdr:row>36</xdr:row>
      <xdr:rowOff>161925</xdr:rowOff>
    </xdr:to>
    <xdr:sp>
      <xdr:nvSpPr>
        <xdr:cNvPr id="12" name="角丸四角形 27"/>
        <xdr:cNvSpPr>
          <a:spLocks/>
        </xdr:cNvSpPr>
      </xdr:nvSpPr>
      <xdr:spPr>
        <a:xfrm>
          <a:off x="5048250" y="4114800"/>
          <a:ext cx="4162425" cy="3619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12</xdr:row>
      <xdr:rowOff>85725</xdr:rowOff>
    </xdr:from>
    <xdr:to>
      <xdr:col>3</xdr:col>
      <xdr:colOff>561975</xdr:colOff>
      <xdr:row>18</xdr:row>
      <xdr:rowOff>95250</xdr:rowOff>
    </xdr:to>
    <xdr:sp>
      <xdr:nvSpPr>
        <xdr:cNvPr id="13" name="線吹き出し 2 (枠付き) 36"/>
        <xdr:cNvSpPr>
          <a:spLocks/>
        </xdr:cNvSpPr>
      </xdr:nvSpPr>
      <xdr:spPr>
        <a:xfrm>
          <a:off x="19050" y="2609850"/>
          <a:ext cx="2371725" cy="1266825"/>
        </a:xfrm>
        <a:prstGeom prst="borderCallout2">
          <a:avLst>
            <a:gd name="adj1" fmla="val 67902"/>
            <a:gd name="adj2" fmla="val -14773"/>
            <a:gd name="adj3" fmla="val 56032"/>
            <a:gd name="adj4" fmla="val -4291"/>
            <a:gd name="adj5" fmla="val 50277"/>
            <a:gd name="adj6" fmla="val 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本報告書にご記載頂く計数等は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日時点のものとなりますの</a:t>
          </a:r>
          <a:r>
            <a:rPr lang="en-US" cap="none" sz="1000" b="0" i="0" u="none" baseline="0">
              <a:solidFill>
                <a:srgbClr val="000000"/>
              </a:solidFill>
            </a:rPr>
            <a:t>
</a:t>
          </a:r>
          <a:r>
            <a:rPr lang="en-US" cap="none" sz="1000" b="0" i="0" u="none" baseline="0">
              <a:solidFill>
                <a:srgbClr val="000000"/>
              </a:solidFill>
            </a:rPr>
            <a:t>　で、日付は、</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日と</a:t>
          </a:r>
          <a:r>
            <a:rPr lang="en-US" cap="none" sz="1000" b="0" i="0" u="none" baseline="0">
              <a:solidFill>
                <a:srgbClr val="000000"/>
              </a:solidFill>
            </a:rPr>
            <a:t>
</a:t>
          </a:r>
          <a:r>
            <a:rPr lang="en-US" cap="none" sz="1000" b="0" i="0" u="none" baseline="0">
              <a:solidFill>
                <a:srgbClr val="000000"/>
              </a:solidFill>
            </a:rPr>
            <a:t>　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新規営業等で期初が</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の場合には、期初の日から</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
</a:t>
          </a:r>
          <a:r>
            <a:rPr lang="en-US" cap="none" sz="1000" b="0" i="0" u="none" baseline="0">
              <a:solidFill>
                <a:srgbClr val="000000"/>
              </a:solidFill>
            </a:rPr>
            <a:t>　日までとご記載下さい。</a:t>
          </a:r>
        </a:p>
      </xdr:txBody>
    </xdr:sp>
    <xdr:clientData fPrintsWithSheet="0"/>
  </xdr:twoCellAnchor>
  <xdr:twoCellAnchor>
    <xdr:from>
      <xdr:col>0</xdr:col>
      <xdr:colOff>0</xdr:colOff>
      <xdr:row>35</xdr:row>
      <xdr:rowOff>47625</xdr:rowOff>
    </xdr:from>
    <xdr:to>
      <xdr:col>3</xdr:col>
      <xdr:colOff>533400</xdr:colOff>
      <xdr:row>38</xdr:row>
      <xdr:rowOff>0</xdr:rowOff>
    </xdr:to>
    <xdr:sp>
      <xdr:nvSpPr>
        <xdr:cNvPr id="14" name="線吹き出し 2 (枠付き) 38"/>
        <xdr:cNvSpPr>
          <a:spLocks/>
        </xdr:cNvSpPr>
      </xdr:nvSpPr>
      <xdr:spPr>
        <a:xfrm>
          <a:off x="0" y="7400925"/>
          <a:ext cx="2362200" cy="590550"/>
        </a:xfrm>
        <a:prstGeom prst="borderCallout2">
          <a:avLst>
            <a:gd name="adj1" fmla="val 176907"/>
            <a:gd name="adj2" fmla="val 72578"/>
            <a:gd name="adj3" fmla="val 69277"/>
            <a:gd name="adj4" fmla="val -30643"/>
            <a:gd name="adj5" fmla="val 51606"/>
            <a:gd name="adj6" fmla="val -3064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⑤</a:t>
          </a:r>
          <a:r>
            <a:rPr lang="en-US" cap="none" sz="1000" b="0" i="0" u="none" baseline="0">
              <a:solidFill>
                <a:srgbClr val="000000"/>
              </a:solidFill>
            </a:rPr>
            <a:t> </a:t>
          </a:r>
          <a:r>
            <a:rPr lang="en-US" cap="none" sz="1000" b="0" i="0" u="none" baseline="0">
              <a:solidFill>
                <a:srgbClr val="000000"/>
              </a:solidFill>
            </a:rPr>
            <a:t>連絡先（作成担当者の所属、氏</a:t>
          </a:r>
          <a:r>
            <a:rPr lang="en-US" cap="none" sz="1000" b="0" i="0" u="none" baseline="0">
              <a:solidFill>
                <a:srgbClr val="000000"/>
              </a:solidFill>
            </a:rPr>
            <a:t>
</a:t>
          </a:r>
          <a:r>
            <a:rPr lang="en-US" cap="none" sz="1000" b="0" i="0" u="none" baseline="0">
              <a:solidFill>
                <a:srgbClr val="000000"/>
              </a:solidFill>
            </a:rPr>
            <a:t>　名及び電話番号）の記載を必ずお</a:t>
          </a:r>
          <a:r>
            <a:rPr lang="en-US" cap="none" sz="1000" b="0" i="0" u="none" baseline="0">
              <a:solidFill>
                <a:srgbClr val="000000"/>
              </a:solidFill>
            </a:rPr>
            <a:t>
</a:t>
          </a:r>
          <a:r>
            <a:rPr lang="en-US" cap="none" sz="1000" b="0" i="0" u="none" baseline="0">
              <a:solidFill>
                <a:srgbClr val="000000"/>
              </a:solidFill>
            </a:rPr>
            <a:t>　願いします。</a:t>
          </a:r>
        </a:p>
      </xdr:txBody>
    </xdr:sp>
    <xdr:clientData fPrintsWithSheet="0"/>
  </xdr:twoCellAnchor>
  <xdr:twoCellAnchor editAs="absolute">
    <xdr:from>
      <xdr:col>4</xdr:col>
      <xdr:colOff>38100</xdr:colOff>
      <xdr:row>8</xdr:row>
      <xdr:rowOff>114300</xdr:rowOff>
    </xdr:from>
    <xdr:to>
      <xdr:col>14</xdr:col>
      <xdr:colOff>38100</xdr:colOff>
      <xdr:row>10</xdr:row>
      <xdr:rowOff>114300</xdr:rowOff>
    </xdr:to>
    <xdr:sp>
      <xdr:nvSpPr>
        <xdr:cNvPr id="15" name="角丸四角形 39"/>
        <xdr:cNvSpPr>
          <a:spLocks/>
        </xdr:cNvSpPr>
      </xdr:nvSpPr>
      <xdr:spPr>
        <a:xfrm>
          <a:off x="2495550" y="1800225"/>
          <a:ext cx="1695450" cy="4191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21</xdr:col>
      <xdr:colOff>114300</xdr:colOff>
      <xdr:row>37</xdr:row>
      <xdr:rowOff>19050</xdr:rowOff>
    </xdr:from>
    <xdr:to>
      <xdr:col>41</xdr:col>
      <xdr:colOff>76200</xdr:colOff>
      <xdr:row>41</xdr:row>
      <xdr:rowOff>19050</xdr:rowOff>
    </xdr:to>
    <xdr:sp>
      <xdr:nvSpPr>
        <xdr:cNvPr id="16" name="角丸四角形 40"/>
        <xdr:cNvSpPr>
          <a:spLocks/>
        </xdr:cNvSpPr>
      </xdr:nvSpPr>
      <xdr:spPr>
        <a:xfrm>
          <a:off x="5467350" y="7800975"/>
          <a:ext cx="3390900" cy="8382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7</xdr:col>
      <xdr:colOff>114300</xdr:colOff>
      <xdr:row>13</xdr:row>
      <xdr:rowOff>95250</xdr:rowOff>
    </xdr:from>
    <xdr:to>
      <xdr:col>40</xdr:col>
      <xdr:colOff>104775</xdr:colOff>
      <xdr:row>15</xdr:row>
      <xdr:rowOff>19050</xdr:rowOff>
    </xdr:to>
    <xdr:sp>
      <xdr:nvSpPr>
        <xdr:cNvPr id="17" name="角丸四角形 41"/>
        <xdr:cNvSpPr>
          <a:spLocks/>
        </xdr:cNvSpPr>
      </xdr:nvSpPr>
      <xdr:spPr>
        <a:xfrm>
          <a:off x="3067050" y="2828925"/>
          <a:ext cx="5648325" cy="3429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42</xdr:row>
      <xdr:rowOff>152400</xdr:rowOff>
    </xdr:from>
    <xdr:to>
      <xdr:col>3</xdr:col>
      <xdr:colOff>571500</xdr:colOff>
      <xdr:row>47</xdr:row>
      <xdr:rowOff>38100</xdr:rowOff>
    </xdr:to>
    <xdr:sp>
      <xdr:nvSpPr>
        <xdr:cNvPr id="18" name="線吹き出し 2 (枠付き) 43"/>
        <xdr:cNvSpPr>
          <a:spLocks/>
        </xdr:cNvSpPr>
      </xdr:nvSpPr>
      <xdr:spPr>
        <a:xfrm>
          <a:off x="19050" y="8982075"/>
          <a:ext cx="2381250" cy="933450"/>
        </a:xfrm>
        <a:prstGeom prst="borderCallout2">
          <a:avLst>
            <a:gd name="adj1" fmla="val 60773"/>
            <a:gd name="adj2" fmla="val 19509"/>
            <a:gd name="adj3" fmla="val 54208"/>
            <a:gd name="adj4" fmla="val 3203"/>
            <a:gd name="adj5" fmla="val 51791"/>
            <a:gd name="adj6" fmla="val -2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⑥</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13</a:t>
          </a:r>
          <a:r>
            <a:rPr lang="en-US" cap="none" sz="1000" b="0" i="0" u="none" baseline="0">
              <a:solidFill>
                <a:srgbClr val="000000"/>
              </a:solidFill>
            </a:rPr>
            <a:t>すべての書類が揃っている</a:t>
          </a:r>
          <a:r>
            <a:rPr lang="en-US" cap="none" sz="1000" b="0" i="0" u="none" baseline="0">
              <a:solidFill>
                <a:srgbClr val="000000"/>
              </a:solidFill>
            </a:rPr>
            <a:t>
</a:t>
          </a:r>
          <a:r>
            <a:rPr lang="en-US" cap="none" sz="1000" b="0" i="0" u="none" baseline="0">
              <a:solidFill>
                <a:srgbClr val="000000"/>
              </a:solidFill>
            </a:rPr>
            <a:t>　か必ずご確認下さい。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該当のない項目がある表につい</a:t>
          </a:r>
          <a:r>
            <a:rPr lang="en-US" cap="none" sz="1000" b="0" i="0" u="none" baseline="0">
              <a:solidFill>
                <a:srgbClr val="000000"/>
              </a:solidFill>
            </a:rPr>
            <a:t>
</a:t>
          </a:r>
          <a:r>
            <a:rPr lang="en-US" cap="none" sz="1000" b="0" i="0" u="none" baseline="0">
              <a:solidFill>
                <a:srgbClr val="000000"/>
              </a:solidFill>
            </a:rPr>
            <a:t>　ても、「該当なし」の旨を記載の</a:t>
          </a:r>
          <a:r>
            <a:rPr lang="en-US" cap="none" sz="1000" b="0" i="0" u="none" baseline="0">
              <a:solidFill>
                <a:srgbClr val="000000"/>
              </a:solidFill>
            </a:rPr>
            <a:t>
</a:t>
          </a:r>
          <a:r>
            <a:rPr lang="en-US" cap="none" sz="1000" b="0" i="0" u="none" baseline="0">
              <a:solidFill>
                <a:srgbClr val="000000"/>
              </a:solidFill>
            </a:rPr>
            <a:t>　上、必ずご提出下さい。</a:t>
          </a:r>
        </a:p>
      </xdr:txBody>
    </xdr:sp>
    <xdr:clientData fPrintsWithSheet="0"/>
  </xdr:twoCellAnchor>
  <xdr:twoCellAnchor editAs="absolute">
    <xdr:from>
      <xdr:col>4</xdr:col>
      <xdr:colOff>85725</xdr:colOff>
      <xdr:row>46</xdr:row>
      <xdr:rowOff>76200</xdr:rowOff>
    </xdr:from>
    <xdr:to>
      <xdr:col>22</xdr:col>
      <xdr:colOff>47625</xdr:colOff>
      <xdr:row>61</xdr:row>
      <xdr:rowOff>19050</xdr:rowOff>
    </xdr:to>
    <xdr:sp>
      <xdr:nvSpPr>
        <xdr:cNvPr id="19" name="角丸四角形 44"/>
        <xdr:cNvSpPr>
          <a:spLocks/>
        </xdr:cNvSpPr>
      </xdr:nvSpPr>
      <xdr:spPr>
        <a:xfrm>
          <a:off x="2543175" y="9744075"/>
          <a:ext cx="3028950" cy="30861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142875</xdr:colOff>
      <xdr:row>64</xdr:row>
      <xdr:rowOff>171450</xdr:rowOff>
    </xdr:from>
    <xdr:to>
      <xdr:col>40</xdr:col>
      <xdr:colOff>76200</xdr:colOff>
      <xdr:row>84</xdr:row>
      <xdr:rowOff>38100</xdr:rowOff>
    </xdr:to>
    <xdr:sp>
      <xdr:nvSpPr>
        <xdr:cNvPr id="20" name="角丸四角形 45"/>
        <xdr:cNvSpPr>
          <a:spLocks/>
        </xdr:cNvSpPr>
      </xdr:nvSpPr>
      <xdr:spPr>
        <a:xfrm>
          <a:off x="2600325" y="13611225"/>
          <a:ext cx="6086475" cy="44005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62</xdr:row>
      <xdr:rowOff>19050</xdr:rowOff>
    </xdr:from>
    <xdr:to>
      <xdr:col>3</xdr:col>
      <xdr:colOff>619125</xdr:colOff>
      <xdr:row>65</xdr:row>
      <xdr:rowOff>38100</xdr:rowOff>
    </xdr:to>
    <xdr:sp>
      <xdr:nvSpPr>
        <xdr:cNvPr id="21" name="線吹き出し 2 (枠付き) 46"/>
        <xdr:cNvSpPr>
          <a:spLocks/>
        </xdr:cNvSpPr>
      </xdr:nvSpPr>
      <xdr:spPr>
        <a:xfrm>
          <a:off x="19050" y="13039725"/>
          <a:ext cx="2428875" cy="647700"/>
        </a:xfrm>
        <a:prstGeom prst="borderCallout2">
          <a:avLst>
            <a:gd name="adj1" fmla="val 60194"/>
            <a:gd name="adj2" fmla="val 38236"/>
            <a:gd name="adj3" fmla="val 57449"/>
            <a:gd name="adj4" fmla="val -14703"/>
            <a:gd name="adj5" fmla="val 51962"/>
            <a:gd name="adj6" fmla="val -13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⑦</a:t>
          </a:r>
          <a:r>
            <a:rPr lang="en-US" cap="none" sz="1000" b="0" i="0" u="none" baseline="0">
              <a:solidFill>
                <a:srgbClr val="000000"/>
              </a:solidFill>
            </a:rPr>
            <a:t> </a:t>
          </a:r>
          <a:r>
            <a:rPr lang="en-US" cap="none" sz="1000" b="0" i="0" u="none" baseline="0">
              <a:solidFill>
                <a:srgbClr val="000000"/>
              </a:solidFill>
            </a:rPr>
            <a:t>本報告書を記載するに当たり、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記載上の注意をよくお読み下さい。</a:t>
          </a:r>
        </a:p>
      </xdr:txBody>
    </xdr:sp>
    <xdr:clientData fPrintsWithSheet="0"/>
  </xdr:twoCellAnchor>
  <xdr:twoCellAnchor>
    <xdr:from>
      <xdr:col>0</xdr:col>
      <xdr:colOff>19050</xdr:colOff>
      <xdr:row>92</xdr:row>
      <xdr:rowOff>47625</xdr:rowOff>
    </xdr:from>
    <xdr:to>
      <xdr:col>3</xdr:col>
      <xdr:colOff>571500</xdr:colOff>
      <xdr:row>97</xdr:row>
      <xdr:rowOff>200025</xdr:rowOff>
    </xdr:to>
    <xdr:sp>
      <xdr:nvSpPr>
        <xdr:cNvPr id="22" name="正方形/長方形 48"/>
        <xdr:cNvSpPr>
          <a:spLocks/>
        </xdr:cNvSpPr>
      </xdr:nvSpPr>
      <xdr:spPr>
        <a:xfrm>
          <a:off x="19050" y="19364325"/>
          <a:ext cx="2381250" cy="10858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表１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表下の（記載上の注意）をよくお読み頂いた上で、表の太線枠内の各欄に計数をご記載下さい。</a:t>
          </a:r>
        </a:p>
      </xdr:txBody>
    </xdr:sp>
    <xdr:clientData fPrintsWithSheet="0"/>
  </xdr:twoCellAnchor>
  <xdr:twoCellAnchor>
    <xdr:from>
      <xdr:col>0</xdr:col>
      <xdr:colOff>19050</xdr:colOff>
      <xdr:row>98</xdr:row>
      <xdr:rowOff>38100</xdr:rowOff>
    </xdr:from>
    <xdr:to>
      <xdr:col>3</xdr:col>
      <xdr:colOff>571500</xdr:colOff>
      <xdr:row>103</xdr:row>
      <xdr:rowOff>152400</xdr:rowOff>
    </xdr:to>
    <xdr:sp>
      <xdr:nvSpPr>
        <xdr:cNvPr id="23" name="正方形/長方形 50"/>
        <xdr:cNvSpPr>
          <a:spLocks/>
        </xdr:cNvSpPr>
      </xdr:nvSpPr>
      <xdr:spPr>
        <a:xfrm>
          <a:off x="19050" y="20497800"/>
          <a:ext cx="2381250" cy="16383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貸付残高は</a:t>
          </a:r>
          <a:r>
            <a:rPr lang="en-US" cap="none" sz="1000" b="1" i="0" u="sng" baseline="0">
              <a:solidFill>
                <a:srgbClr val="000000"/>
              </a:solidFill>
              <a:latin typeface="ＭＳ Ｐゴシック"/>
              <a:ea typeface="ＭＳ Ｐゴシック"/>
              <a:cs typeface="ＭＳ Ｐゴシック"/>
            </a:rPr>
            <a:t>千円単位</a:t>
          </a:r>
          <a:r>
            <a:rPr lang="en-US" cap="none" sz="1000" b="0" i="0" u="none" baseline="0">
              <a:solidFill>
                <a:srgbClr val="000000"/>
              </a:solidFill>
              <a:latin typeface="ＭＳ Ｐゴシック"/>
              <a:ea typeface="ＭＳ Ｐゴシック"/>
              <a:cs typeface="ＭＳ Ｐゴシック"/>
            </a:rPr>
            <a:t>とし、単位未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満の端数は切り捨ててご記載下さい。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端数切捨てにより、残高内訳の合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計と「合計」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又は「計」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欄の残高と合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致しない場合があります。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★業務報告書は、決算時期と関係なく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提出する書類ですので、常に「償却さ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れる前」の件数・貸付残高になります。</a:t>
          </a:r>
        </a:p>
      </xdr:txBody>
    </xdr:sp>
    <xdr:clientData fPrintsWithSheet="0"/>
  </xdr:twoCellAnchor>
  <xdr:twoCellAnchor>
    <xdr:from>
      <xdr:col>0</xdr:col>
      <xdr:colOff>19050</xdr:colOff>
      <xdr:row>104</xdr:row>
      <xdr:rowOff>76200</xdr:rowOff>
    </xdr:from>
    <xdr:to>
      <xdr:col>3</xdr:col>
      <xdr:colOff>571500</xdr:colOff>
      <xdr:row>105</xdr:row>
      <xdr:rowOff>266700</xdr:rowOff>
    </xdr:to>
    <xdr:sp>
      <xdr:nvSpPr>
        <xdr:cNvPr id="24" name="正方形/長方形 51"/>
        <xdr:cNvSpPr>
          <a:spLocks/>
        </xdr:cNvSpPr>
      </xdr:nvSpPr>
      <xdr:spPr>
        <a:xfrm>
          <a:off x="19050" y="22364700"/>
          <a:ext cx="2381250" cy="4953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貸付実績がない場合は「</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半角）を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単位未満の場合は「</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」をご記載下さい。</a:t>
          </a:r>
        </a:p>
      </xdr:txBody>
    </xdr:sp>
    <xdr:clientData fPrintsWithSheet="0"/>
  </xdr:twoCellAnchor>
  <xdr:twoCellAnchor>
    <xdr:from>
      <xdr:col>0</xdr:col>
      <xdr:colOff>19050</xdr:colOff>
      <xdr:row>106</xdr:row>
      <xdr:rowOff>95250</xdr:rowOff>
    </xdr:from>
    <xdr:to>
      <xdr:col>3</xdr:col>
      <xdr:colOff>571500</xdr:colOff>
      <xdr:row>107</xdr:row>
      <xdr:rowOff>209550</xdr:rowOff>
    </xdr:to>
    <xdr:sp>
      <xdr:nvSpPr>
        <xdr:cNvPr id="25" name="正方形/長方形 52"/>
        <xdr:cNvSpPr>
          <a:spLocks/>
        </xdr:cNvSpPr>
      </xdr:nvSpPr>
      <xdr:spPr>
        <a:xfrm>
          <a:off x="19050" y="22993350"/>
          <a:ext cx="2381250" cy="419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貸付実績がある場合、件数、残高、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平均約定金利を必ずご記載下さい。　</a:t>
          </a:r>
        </a:p>
      </xdr:txBody>
    </xdr:sp>
    <xdr:clientData fPrintsWithSheet="0"/>
  </xdr:twoCellAnchor>
  <xdr:twoCellAnchor>
    <xdr:from>
      <xdr:col>0</xdr:col>
      <xdr:colOff>19050</xdr:colOff>
      <xdr:row>118</xdr:row>
      <xdr:rowOff>95250</xdr:rowOff>
    </xdr:from>
    <xdr:to>
      <xdr:col>3</xdr:col>
      <xdr:colOff>561975</xdr:colOff>
      <xdr:row>124</xdr:row>
      <xdr:rowOff>161925</xdr:rowOff>
    </xdr:to>
    <xdr:sp>
      <xdr:nvSpPr>
        <xdr:cNvPr id="26" name="正方形/長方形 55"/>
        <xdr:cNvSpPr>
          <a:spLocks/>
        </xdr:cNvSpPr>
      </xdr:nvSpPr>
      <xdr:spPr>
        <a:xfrm>
          <a:off x="19050" y="25622250"/>
          <a:ext cx="2371725" cy="1190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表２　記載上の注意（補足）</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表下の（記載上の注意）をよくお</a:t>
          </a:r>
          <a:r>
            <a:rPr lang="en-US" cap="none" sz="1000" b="0" i="0" u="none" baseline="0">
              <a:solidFill>
                <a:srgbClr val="000000"/>
              </a:solidFill>
            </a:rPr>
            <a:t>
</a:t>
          </a:r>
          <a:r>
            <a:rPr lang="en-US" cap="none" sz="1000" b="0" i="0" u="none" baseline="0">
              <a:solidFill>
                <a:srgbClr val="000000"/>
              </a:solidFill>
            </a:rPr>
            <a:t>読み頂いた上で、表の太線枠内の各</a:t>
          </a:r>
          <a:r>
            <a:rPr lang="en-US" cap="none" sz="1000" b="0" i="0" u="none" baseline="0">
              <a:solidFill>
                <a:srgbClr val="000000"/>
              </a:solidFill>
            </a:rPr>
            <a:t>
</a:t>
          </a:r>
          <a:r>
            <a:rPr lang="en-US" cap="none" sz="1000" b="0" i="0" u="none" baseline="0">
              <a:solidFill>
                <a:srgbClr val="000000"/>
              </a:solidFill>
            </a:rPr>
            <a:t>欄に計数をご記載下さい。</a:t>
          </a:r>
        </a:p>
      </xdr:txBody>
    </xdr:sp>
    <xdr:clientData fPrintsWithSheet="0"/>
  </xdr:twoCellAnchor>
  <xdr:twoCellAnchor>
    <xdr:from>
      <xdr:col>0</xdr:col>
      <xdr:colOff>0</xdr:colOff>
      <xdr:row>126</xdr:row>
      <xdr:rowOff>38100</xdr:rowOff>
    </xdr:from>
    <xdr:to>
      <xdr:col>3</xdr:col>
      <xdr:colOff>533400</xdr:colOff>
      <xdr:row>129</xdr:row>
      <xdr:rowOff>0</xdr:rowOff>
    </xdr:to>
    <xdr:sp>
      <xdr:nvSpPr>
        <xdr:cNvPr id="27" name="線吹き出し 2 (枠付き) 56"/>
        <xdr:cNvSpPr>
          <a:spLocks/>
        </xdr:cNvSpPr>
      </xdr:nvSpPr>
      <xdr:spPr>
        <a:xfrm>
          <a:off x="0" y="27108150"/>
          <a:ext cx="2362200" cy="590550"/>
        </a:xfrm>
        <a:prstGeom prst="borderCallout2">
          <a:avLst>
            <a:gd name="adj1" fmla="val 179314"/>
            <a:gd name="adj2" fmla="val -240476"/>
            <a:gd name="adj3" fmla="val 76907"/>
            <a:gd name="adj4" fmla="val -30953"/>
            <a:gd name="adj5" fmla="val 51606"/>
            <a:gd name="adj6" fmla="val -30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「件数」ではなく「先数（名寄</a:t>
          </a:r>
          <a:r>
            <a:rPr lang="en-US" cap="none" sz="1000" b="0" i="0" u="none" baseline="0">
              <a:solidFill>
                <a:srgbClr val="000000"/>
              </a:solidFill>
            </a:rPr>
            <a:t>
</a:t>
          </a:r>
          <a:r>
            <a:rPr lang="en-US" cap="none" sz="1000" b="0" i="0" u="none" baseline="0">
              <a:solidFill>
                <a:srgbClr val="000000"/>
              </a:solidFill>
            </a:rPr>
            <a:t>　せした債務者数）」を記載して</a:t>
          </a:r>
          <a:r>
            <a:rPr lang="en-US" cap="none" sz="1000" b="0" i="0" u="none" baseline="0">
              <a:solidFill>
                <a:srgbClr val="000000"/>
              </a:solidFill>
            </a:rPr>
            <a:t>
</a:t>
          </a:r>
          <a:r>
            <a:rPr lang="en-US" cap="none" sz="1000" b="0" i="0" u="none" baseline="0">
              <a:solidFill>
                <a:srgbClr val="000000"/>
              </a:solidFill>
            </a:rPr>
            <a:t>　下さい。</a:t>
          </a:r>
        </a:p>
      </xdr:txBody>
    </xdr:sp>
    <xdr:clientData fPrintsWithSheet="0"/>
  </xdr:twoCellAnchor>
  <xdr:twoCellAnchor>
    <xdr:from>
      <xdr:col>0</xdr:col>
      <xdr:colOff>19050</xdr:colOff>
      <xdr:row>129</xdr:row>
      <xdr:rowOff>114300</xdr:rowOff>
    </xdr:from>
    <xdr:to>
      <xdr:col>3</xdr:col>
      <xdr:colOff>561975</xdr:colOff>
      <xdr:row>136</xdr:row>
      <xdr:rowOff>57150</xdr:rowOff>
    </xdr:to>
    <xdr:sp>
      <xdr:nvSpPr>
        <xdr:cNvPr id="28" name="線吹き出し 2 (枠付き) 60"/>
        <xdr:cNvSpPr>
          <a:spLocks/>
        </xdr:cNvSpPr>
      </xdr:nvSpPr>
      <xdr:spPr>
        <a:xfrm>
          <a:off x="19050" y="27813000"/>
          <a:ext cx="2371725" cy="1409700"/>
        </a:xfrm>
        <a:prstGeom prst="borderCallout2">
          <a:avLst>
            <a:gd name="adj1" fmla="val 66467"/>
            <a:gd name="adj2" fmla="val 67449"/>
            <a:gd name="adj3" fmla="val -1407"/>
            <a:gd name="adj4" fmla="val 68124"/>
            <a:gd name="adj5" fmla="val -1004"/>
            <a:gd name="adj6" fmla="val 500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「個人」欄の残高が表１（貸付</a:t>
          </a:r>
          <a:r>
            <a:rPr lang="en-US" cap="none" sz="1000" b="0" i="0" u="none" baseline="0">
              <a:solidFill>
                <a:srgbClr val="000000"/>
              </a:solidFill>
            </a:rPr>
            <a:t>
</a:t>
          </a:r>
          <a:r>
            <a:rPr lang="en-US" cap="none" sz="1000" b="0" i="0" u="none" baseline="0">
              <a:solidFill>
                <a:srgbClr val="000000"/>
              </a:solidFill>
            </a:rPr>
            <a:t>　金の種別残高）の消費者向計の</a:t>
          </a:r>
          <a:r>
            <a:rPr lang="en-US" cap="none" sz="1000" b="0" i="0" u="none" baseline="0">
              <a:solidFill>
                <a:srgbClr val="000000"/>
              </a:solidFill>
            </a:rPr>
            <a:t>
</a:t>
          </a:r>
          <a:r>
            <a:rPr lang="en-US" cap="none" sz="1000" b="0" i="0" u="none" baseline="0">
              <a:solidFill>
                <a:srgbClr val="000000"/>
              </a:solidFill>
            </a:rPr>
            <a:t>　残高と合致することをご確認下</a:t>
          </a:r>
          <a:r>
            <a:rPr lang="en-US" cap="none" sz="1000" b="0" i="0" u="none" baseline="0">
              <a:solidFill>
                <a:srgbClr val="000000"/>
              </a:solidFill>
            </a:rPr>
            <a:t>
</a:t>
          </a:r>
          <a:r>
            <a:rPr lang="en-US" cap="none" sz="1000" b="0" i="0" u="none" baseline="0">
              <a:solidFill>
                <a:srgbClr val="000000"/>
              </a:solidFill>
            </a:rPr>
            <a:t>　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事業者向けの貸付けを個人に行</a:t>
          </a:r>
          <a:r>
            <a:rPr lang="en-US" cap="none" sz="1000" b="0" i="0" u="none" baseline="0">
              <a:solidFill>
                <a:srgbClr val="000000"/>
              </a:solidFill>
            </a:rPr>
            <a:t>
</a:t>
          </a:r>
          <a:r>
            <a:rPr lang="en-US" cap="none" sz="1000" b="0" i="0" u="none" baseline="0">
              <a:solidFill>
                <a:srgbClr val="000000"/>
              </a:solidFill>
            </a:rPr>
            <a:t>　っている場合（農業、不動産業</a:t>
          </a:r>
          <a:r>
            <a:rPr lang="en-US" cap="none" sz="1000" b="0" i="0" u="none" baseline="0">
              <a:solidFill>
                <a:srgbClr val="000000"/>
              </a:solidFill>
            </a:rPr>
            <a:t>
</a:t>
          </a:r>
          <a:r>
            <a:rPr lang="en-US" cap="none" sz="1000" b="0" i="0" u="none" baseline="0">
              <a:solidFill>
                <a:srgbClr val="000000"/>
              </a:solidFill>
            </a:rPr>
            <a:t>　等）は、「個人」ではなく各業</a:t>
          </a:r>
          <a:r>
            <a:rPr lang="en-US" cap="none" sz="1000" b="0" i="0" u="none" baseline="0">
              <a:solidFill>
                <a:srgbClr val="000000"/>
              </a:solidFill>
            </a:rPr>
            <a:t>
</a:t>
          </a:r>
          <a:r>
            <a:rPr lang="en-US" cap="none" sz="1000" b="0" i="0" u="none" baseline="0">
              <a:solidFill>
                <a:srgbClr val="000000"/>
              </a:solidFill>
            </a:rPr>
            <a:t>　種欄への記載となります。</a:t>
          </a:r>
        </a:p>
      </xdr:txBody>
    </xdr:sp>
    <xdr:clientData fPrintsWithSheet="0"/>
  </xdr:twoCellAnchor>
  <xdr:twoCellAnchor>
    <xdr:from>
      <xdr:col>0</xdr:col>
      <xdr:colOff>19050</xdr:colOff>
      <xdr:row>140</xdr:row>
      <xdr:rowOff>19050</xdr:rowOff>
    </xdr:from>
    <xdr:to>
      <xdr:col>3</xdr:col>
      <xdr:colOff>561975</xdr:colOff>
      <xdr:row>146</xdr:row>
      <xdr:rowOff>38100</xdr:rowOff>
    </xdr:to>
    <xdr:sp>
      <xdr:nvSpPr>
        <xdr:cNvPr id="29" name="線吹き出し 2 (枠付き) 61"/>
        <xdr:cNvSpPr>
          <a:spLocks/>
        </xdr:cNvSpPr>
      </xdr:nvSpPr>
      <xdr:spPr>
        <a:xfrm>
          <a:off x="19050" y="30022800"/>
          <a:ext cx="2371725" cy="1200150"/>
        </a:xfrm>
        <a:prstGeom prst="borderCallout2">
          <a:avLst>
            <a:gd name="adj1" fmla="val 82199"/>
            <a:gd name="adj2" fmla="val -43319"/>
            <a:gd name="adj3" fmla="val 63874"/>
            <a:gd name="adj4" fmla="val -26138"/>
            <a:gd name="adj5" fmla="val 50513"/>
            <a:gd name="adj6" fmla="val -14875"/>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a:t>
          </a:r>
          <a:r>
            <a:rPr lang="en-US" cap="none" sz="1000" b="0" i="0" u="none" baseline="0">
              <a:solidFill>
                <a:srgbClr val="000000"/>
              </a:solidFill>
            </a:rPr>
            <a:t>
</a:t>
          </a:r>
          <a:r>
            <a:rPr lang="en-US" cap="none" sz="1000" b="0" i="0" u="none" baseline="0">
              <a:solidFill>
                <a:srgbClr val="000000"/>
              </a:solidFill>
            </a:rPr>
            <a:t>　高）の残高合計と合致することを</a:t>
          </a:r>
          <a:r>
            <a:rPr lang="en-US" cap="none" sz="1000" b="0" i="0" u="none" baseline="0">
              <a:solidFill>
                <a:srgbClr val="000000"/>
              </a:solidFill>
            </a:rPr>
            <a:t>
</a:t>
          </a:r>
          <a:r>
            <a:rPr lang="en-US" cap="none" sz="1000" b="0" i="0" u="none" baseline="0">
              <a:solidFill>
                <a:srgbClr val="000000"/>
              </a:solidFill>
            </a:rPr>
            <a:t>　ご確認下さい。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1" i="0" u="none" baseline="0">
              <a:solidFill>
                <a:srgbClr val="000000"/>
              </a:solidFill>
            </a:rPr>
            <a:t>先数</a:t>
          </a:r>
          <a:r>
            <a:rPr lang="en-US" cap="none" sz="1000" b="0" i="0" u="none" baseline="0">
              <a:solidFill>
                <a:srgbClr val="000000"/>
              </a:solidFill>
            </a:rPr>
            <a:t>」</a:t>
          </a:r>
          <a:r>
            <a:rPr lang="en-US" cap="none" sz="1000" b="0" i="0" u="none" baseline="0">
              <a:solidFill>
                <a:srgbClr val="000000"/>
              </a:solidFill>
            </a:rPr>
            <a:t>は名寄せした債務者数を</a:t>
          </a:r>
          <a:r>
            <a:rPr lang="en-US" cap="none" sz="1000" b="0" i="0" u="none" baseline="0">
              <a:solidFill>
                <a:srgbClr val="000000"/>
              </a:solidFill>
            </a:rPr>
            <a:t>
</a:t>
          </a:r>
          <a:r>
            <a:rPr lang="en-US" cap="none" sz="1000" b="0" i="0" u="none" baseline="0">
              <a:solidFill>
                <a:srgbClr val="000000"/>
              </a:solidFill>
            </a:rPr>
            <a:t>　記載するため、表</a:t>
          </a:r>
          <a:r>
            <a:rPr lang="en-US" cap="none" sz="1000" b="0" i="0" u="none" baseline="0">
              <a:solidFill>
                <a:srgbClr val="000000"/>
              </a:solidFill>
            </a:rPr>
            <a:t>1</a:t>
          </a:r>
          <a:r>
            <a:rPr lang="en-US" cap="none" sz="1000" b="0" i="0" u="none" baseline="0">
              <a:solidFill>
                <a:srgbClr val="000000"/>
              </a:solidFill>
            </a:rPr>
            <a:t>の貸付件数と</a:t>
          </a:r>
          <a:r>
            <a:rPr lang="en-US" cap="none" sz="1000" b="0" i="0" u="none" baseline="0">
              <a:solidFill>
                <a:srgbClr val="000000"/>
              </a:solidFill>
            </a:rPr>
            <a:t>
</a:t>
          </a:r>
          <a:r>
            <a:rPr lang="en-US" cap="none" sz="1000" b="0" i="0" u="none" baseline="0">
              <a:solidFill>
                <a:srgbClr val="000000"/>
              </a:solidFill>
            </a:rPr>
            <a:t>　は必ずしも合致しません。）</a:t>
          </a:r>
        </a:p>
      </xdr:txBody>
    </xdr:sp>
    <xdr:clientData fPrintsWithSheet="0"/>
  </xdr:twoCellAnchor>
  <xdr:twoCellAnchor>
    <xdr:from>
      <xdr:col>0</xdr:col>
      <xdr:colOff>19050</xdr:colOff>
      <xdr:row>155</xdr:row>
      <xdr:rowOff>76200</xdr:rowOff>
    </xdr:from>
    <xdr:to>
      <xdr:col>3</xdr:col>
      <xdr:colOff>571500</xdr:colOff>
      <xdr:row>161</xdr:row>
      <xdr:rowOff>123825</xdr:rowOff>
    </xdr:to>
    <xdr:sp>
      <xdr:nvSpPr>
        <xdr:cNvPr id="30" name="正方形/長方形 65"/>
        <xdr:cNvSpPr>
          <a:spLocks/>
        </xdr:cNvSpPr>
      </xdr:nvSpPr>
      <xdr:spPr>
        <a:xfrm>
          <a:off x="19050" y="33070800"/>
          <a:ext cx="2381250" cy="11049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表３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163</xdr:row>
      <xdr:rowOff>47625</xdr:rowOff>
    </xdr:from>
    <xdr:to>
      <xdr:col>3</xdr:col>
      <xdr:colOff>571500</xdr:colOff>
      <xdr:row>169</xdr:row>
      <xdr:rowOff>19050</xdr:rowOff>
    </xdr:to>
    <xdr:sp>
      <xdr:nvSpPr>
        <xdr:cNvPr id="31" name="線吹き出し 2 (枠付き) 67"/>
        <xdr:cNvSpPr>
          <a:spLocks/>
        </xdr:cNvSpPr>
      </xdr:nvSpPr>
      <xdr:spPr>
        <a:xfrm>
          <a:off x="19050" y="34518600"/>
          <a:ext cx="2381250" cy="1228725"/>
        </a:xfrm>
        <a:prstGeom prst="borderCallout2">
          <a:avLst>
            <a:gd name="adj1" fmla="val 64583"/>
            <a:gd name="adj2" fmla="val -106046"/>
            <a:gd name="adj3" fmla="val 56388"/>
            <a:gd name="adj4" fmla="val -45731"/>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◆金額別ランクの振分方法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毎年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31</a:t>
          </a:r>
          <a:r>
            <a:rPr lang="en-US" cap="none" sz="1000" b="0" i="0" u="none" baseline="0">
              <a:solidFill>
                <a:srgbClr val="000000"/>
              </a:solidFill>
              <a:latin typeface="ＭＳ Ｐゴシック"/>
              <a:ea typeface="ＭＳ Ｐゴシック"/>
              <a:cs typeface="ＭＳ Ｐゴシック"/>
            </a:rPr>
            <a:t>日時点の貸付残高の金額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を金額別ランクに当てはめて計上して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a:t>
          </a:r>
        </a:p>
      </xdr:txBody>
    </xdr:sp>
    <xdr:clientData fPrintsWithSheet="0"/>
  </xdr:twoCellAnchor>
  <xdr:twoCellAnchor>
    <xdr:from>
      <xdr:col>0</xdr:col>
      <xdr:colOff>19050</xdr:colOff>
      <xdr:row>171</xdr:row>
      <xdr:rowOff>9525</xdr:rowOff>
    </xdr:from>
    <xdr:to>
      <xdr:col>3</xdr:col>
      <xdr:colOff>571500</xdr:colOff>
      <xdr:row>173</xdr:row>
      <xdr:rowOff>190500</xdr:rowOff>
    </xdr:to>
    <xdr:sp>
      <xdr:nvSpPr>
        <xdr:cNvPr id="32" name="線吹き出し 2 (枠付き) 68"/>
        <xdr:cNvSpPr>
          <a:spLocks/>
        </xdr:cNvSpPr>
      </xdr:nvSpPr>
      <xdr:spPr>
        <a:xfrm>
          <a:off x="19050" y="36156900"/>
          <a:ext cx="2381250"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186</xdr:row>
      <xdr:rowOff>57150</xdr:rowOff>
    </xdr:from>
    <xdr:to>
      <xdr:col>3</xdr:col>
      <xdr:colOff>561975</xdr:colOff>
      <xdr:row>192</xdr:row>
      <xdr:rowOff>190500</xdr:rowOff>
    </xdr:to>
    <xdr:sp>
      <xdr:nvSpPr>
        <xdr:cNvPr id="33" name="正方形/長方形 54"/>
        <xdr:cNvSpPr>
          <a:spLocks/>
        </xdr:cNvSpPr>
      </xdr:nvSpPr>
      <xdr:spPr>
        <a:xfrm>
          <a:off x="19050" y="389382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表４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193</xdr:row>
      <xdr:rowOff>152400</xdr:rowOff>
    </xdr:from>
    <xdr:to>
      <xdr:col>3</xdr:col>
      <xdr:colOff>561975</xdr:colOff>
      <xdr:row>196</xdr:row>
      <xdr:rowOff>28575</xdr:rowOff>
    </xdr:to>
    <xdr:sp>
      <xdr:nvSpPr>
        <xdr:cNvPr id="34" name="線吹き出し 2 (枠付き) 57"/>
        <xdr:cNvSpPr>
          <a:spLocks/>
        </xdr:cNvSpPr>
      </xdr:nvSpPr>
      <xdr:spPr>
        <a:xfrm>
          <a:off x="19050" y="40243125"/>
          <a:ext cx="2371725" cy="504825"/>
        </a:xfrm>
        <a:prstGeom prst="borderCallout2">
          <a:avLst>
            <a:gd name="adj1" fmla="val 62162"/>
            <a:gd name="adj2" fmla="val -154699"/>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期間別区分は、必ず様式どおりの期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間別区分に沿ってご記載下さい。</a:t>
          </a:r>
        </a:p>
      </xdr:txBody>
    </xdr:sp>
    <xdr:clientData fPrintsWithSheet="0"/>
  </xdr:twoCellAnchor>
  <xdr:twoCellAnchor>
    <xdr:from>
      <xdr:col>0</xdr:col>
      <xdr:colOff>19050</xdr:colOff>
      <xdr:row>196</xdr:row>
      <xdr:rowOff>95250</xdr:rowOff>
    </xdr:from>
    <xdr:to>
      <xdr:col>3</xdr:col>
      <xdr:colOff>561975</xdr:colOff>
      <xdr:row>199</xdr:row>
      <xdr:rowOff>66675</xdr:rowOff>
    </xdr:to>
    <xdr:sp>
      <xdr:nvSpPr>
        <xdr:cNvPr id="35" name="線吹き出し 2 (枠付き) 58"/>
        <xdr:cNvSpPr>
          <a:spLocks/>
        </xdr:cNvSpPr>
      </xdr:nvSpPr>
      <xdr:spPr>
        <a:xfrm>
          <a:off x="19050" y="40814625"/>
          <a:ext cx="2371725" cy="600075"/>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200</xdr:row>
      <xdr:rowOff>38100</xdr:rowOff>
    </xdr:from>
    <xdr:to>
      <xdr:col>3</xdr:col>
      <xdr:colOff>561975</xdr:colOff>
      <xdr:row>208</xdr:row>
      <xdr:rowOff>19050</xdr:rowOff>
    </xdr:to>
    <xdr:sp>
      <xdr:nvSpPr>
        <xdr:cNvPr id="36" name="線吹き出し 2 (枠付き) 72"/>
        <xdr:cNvSpPr>
          <a:spLocks/>
        </xdr:cNvSpPr>
      </xdr:nvSpPr>
      <xdr:spPr>
        <a:xfrm>
          <a:off x="19050" y="41595675"/>
          <a:ext cx="2371725" cy="1562100"/>
        </a:xfrm>
        <a:prstGeom prst="borderCallout2">
          <a:avLst>
            <a:gd name="adj1" fmla="val 264861"/>
            <a:gd name="adj2" fmla="val -38842"/>
            <a:gd name="adj3" fmla="val 265259"/>
            <a:gd name="adj4" fmla="val -26722"/>
            <a:gd name="adj5" fmla="val 51203"/>
            <a:gd name="adj6" fmla="val -26115"/>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１件当たり平均期間は、「月数」を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入力して下さい（必ず記入して下さい。）。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月数の値を入力すると</a:t>
          </a:r>
          <a:r>
            <a:rPr lang="en-US" cap="none" sz="1000" b="0" i="0" u="sng"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「年数」が自動的に表示されます</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端数が出る場合は、小数点第３位以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下を切り捨てて第２位までをご記載下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6</xdr:col>
      <xdr:colOff>47625</xdr:colOff>
      <xdr:row>80</xdr:row>
      <xdr:rowOff>38100</xdr:rowOff>
    </xdr:from>
    <xdr:to>
      <xdr:col>40</xdr:col>
      <xdr:colOff>19050</xdr:colOff>
      <xdr:row>82</xdr:row>
      <xdr:rowOff>133350</xdr:rowOff>
    </xdr:to>
    <xdr:sp>
      <xdr:nvSpPr>
        <xdr:cNvPr id="37" name="大かっこ 1"/>
        <xdr:cNvSpPr>
          <a:spLocks/>
        </xdr:cNvSpPr>
      </xdr:nvSpPr>
      <xdr:spPr>
        <a:xfrm>
          <a:off x="2828925" y="17116425"/>
          <a:ext cx="5800725" cy="55245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205</xdr:row>
      <xdr:rowOff>28575</xdr:rowOff>
    </xdr:from>
    <xdr:to>
      <xdr:col>39</xdr:col>
      <xdr:colOff>161925</xdr:colOff>
      <xdr:row>207</xdr:row>
      <xdr:rowOff>190500</xdr:rowOff>
    </xdr:to>
    <xdr:sp>
      <xdr:nvSpPr>
        <xdr:cNvPr id="38" name="大かっこ 75"/>
        <xdr:cNvSpPr>
          <a:spLocks/>
        </xdr:cNvSpPr>
      </xdr:nvSpPr>
      <xdr:spPr>
        <a:xfrm>
          <a:off x="2914650" y="42595800"/>
          <a:ext cx="5686425" cy="542925"/>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209</xdr:row>
      <xdr:rowOff>123825</xdr:rowOff>
    </xdr:from>
    <xdr:to>
      <xdr:col>3</xdr:col>
      <xdr:colOff>581025</xdr:colOff>
      <xdr:row>215</xdr:row>
      <xdr:rowOff>114300</xdr:rowOff>
    </xdr:to>
    <xdr:sp>
      <xdr:nvSpPr>
        <xdr:cNvPr id="39" name="正方形/長方形 54"/>
        <xdr:cNvSpPr>
          <a:spLocks/>
        </xdr:cNvSpPr>
      </xdr:nvSpPr>
      <xdr:spPr>
        <a:xfrm>
          <a:off x="38100" y="434530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表５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220</xdr:row>
      <xdr:rowOff>0</xdr:rowOff>
    </xdr:from>
    <xdr:to>
      <xdr:col>3</xdr:col>
      <xdr:colOff>571500</xdr:colOff>
      <xdr:row>223</xdr:row>
      <xdr:rowOff>38100</xdr:rowOff>
    </xdr:to>
    <xdr:sp>
      <xdr:nvSpPr>
        <xdr:cNvPr id="40" name="線吹き出し 2 (枠付き) 58"/>
        <xdr:cNvSpPr>
          <a:spLocks/>
        </xdr:cNvSpPr>
      </xdr:nvSpPr>
      <xdr:spPr>
        <a:xfrm>
          <a:off x="19050" y="45519975"/>
          <a:ext cx="2381250" cy="666750"/>
        </a:xfrm>
        <a:prstGeom prst="borderCallout2">
          <a:avLst>
            <a:gd name="adj1" fmla="val 92240"/>
            <a:gd name="adj2" fmla="val 2523"/>
            <a:gd name="adj3" fmla="val 69268"/>
            <a:gd name="adj4" fmla="val 3805"/>
            <a:gd name="adj5" fmla="val 50291"/>
            <a:gd name="adj6" fmla="val 25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38100</xdr:colOff>
      <xdr:row>226</xdr:row>
      <xdr:rowOff>114300</xdr:rowOff>
    </xdr:from>
    <xdr:to>
      <xdr:col>3</xdr:col>
      <xdr:colOff>581025</xdr:colOff>
      <xdr:row>232</xdr:row>
      <xdr:rowOff>114300</xdr:rowOff>
    </xdr:to>
    <xdr:sp>
      <xdr:nvSpPr>
        <xdr:cNvPr id="41" name="正方形/長方形 54"/>
        <xdr:cNvSpPr>
          <a:spLocks/>
        </xdr:cNvSpPr>
      </xdr:nvSpPr>
      <xdr:spPr>
        <a:xfrm>
          <a:off x="38100" y="46891575"/>
          <a:ext cx="2371725"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表６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258</xdr:row>
      <xdr:rowOff>95250</xdr:rowOff>
    </xdr:from>
    <xdr:to>
      <xdr:col>3</xdr:col>
      <xdr:colOff>571500</xdr:colOff>
      <xdr:row>264</xdr:row>
      <xdr:rowOff>104775</xdr:rowOff>
    </xdr:to>
    <xdr:sp>
      <xdr:nvSpPr>
        <xdr:cNvPr id="42" name="正方形/長方形 54"/>
        <xdr:cNvSpPr>
          <a:spLocks/>
        </xdr:cNvSpPr>
      </xdr:nvSpPr>
      <xdr:spPr>
        <a:xfrm>
          <a:off x="19050" y="57235725"/>
          <a:ext cx="2381250"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表７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273</xdr:row>
      <xdr:rowOff>142875</xdr:rowOff>
    </xdr:from>
    <xdr:to>
      <xdr:col>3</xdr:col>
      <xdr:colOff>581025</xdr:colOff>
      <xdr:row>279</xdr:row>
      <xdr:rowOff>123825</xdr:rowOff>
    </xdr:to>
    <xdr:sp>
      <xdr:nvSpPr>
        <xdr:cNvPr id="43" name="正方形/長方形 54"/>
        <xdr:cNvSpPr>
          <a:spLocks/>
        </xdr:cNvSpPr>
      </xdr:nvSpPr>
      <xdr:spPr>
        <a:xfrm>
          <a:off x="38100" y="60378975"/>
          <a:ext cx="2371725"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表８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315</xdr:row>
      <xdr:rowOff>85725</xdr:rowOff>
    </xdr:from>
    <xdr:to>
      <xdr:col>3</xdr:col>
      <xdr:colOff>590550</xdr:colOff>
      <xdr:row>321</xdr:row>
      <xdr:rowOff>76200</xdr:rowOff>
    </xdr:to>
    <xdr:sp>
      <xdr:nvSpPr>
        <xdr:cNvPr id="44" name="正方形/長方形 54"/>
        <xdr:cNvSpPr>
          <a:spLocks/>
        </xdr:cNvSpPr>
      </xdr:nvSpPr>
      <xdr:spPr>
        <a:xfrm>
          <a:off x="38100" y="68780025"/>
          <a:ext cx="2381250"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338</xdr:row>
      <xdr:rowOff>123825</xdr:rowOff>
    </xdr:from>
    <xdr:to>
      <xdr:col>3</xdr:col>
      <xdr:colOff>581025</xdr:colOff>
      <xdr:row>344</xdr:row>
      <xdr:rowOff>114300</xdr:rowOff>
    </xdr:to>
    <xdr:sp>
      <xdr:nvSpPr>
        <xdr:cNvPr id="45" name="正方形/長方形 54"/>
        <xdr:cNvSpPr>
          <a:spLocks/>
        </xdr:cNvSpPr>
      </xdr:nvSpPr>
      <xdr:spPr>
        <a:xfrm>
          <a:off x="38100" y="734091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299</xdr:row>
      <xdr:rowOff>66675</xdr:rowOff>
    </xdr:from>
    <xdr:to>
      <xdr:col>3</xdr:col>
      <xdr:colOff>561975</xdr:colOff>
      <xdr:row>305</xdr:row>
      <xdr:rowOff>57150</xdr:rowOff>
    </xdr:to>
    <xdr:sp>
      <xdr:nvSpPr>
        <xdr:cNvPr id="46" name="正方形/長方形 54"/>
        <xdr:cNvSpPr>
          <a:spLocks/>
        </xdr:cNvSpPr>
      </xdr:nvSpPr>
      <xdr:spPr>
        <a:xfrm>
          <a:off x="19050" y="655224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表９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292</xdr:row>
      <xdr:rowOff>19050</xdr:rowOff>
    </xdr:from>
    <xdr:to>
      <xdr:col>3</xdr:col>
      <xdr:colOff>533400</xdr:colOff>
      <xdr:row>294</xdr:row>
      <xdr:rowOff>133350</xdr:rowOff>
    </xdr:to>
    <xdr:sp>
      <xdr:nvSpPr>
        <xdr:cNvPr id="47" name="線吹き出し 2 (枠付き) 58"/>
        <xdr:cNvSpPr>
          <a:spLocks/>
        </xdr:cNvSpPr>
      </xdr:nvSpPr>
      <xdr:spPr>
        <a:xfrm>
          <a:off x="19050" y="64122300"/>
          <a:ext cx="2343150" cy="419100"/>
        </a:xfrm>
        <a:prstGeom prst="borderCallout2">
          <a:avLst>
            <a:gd name="adj1" fmla="val 82791"/>
            <a:gd name="adj2" fmla="val -18888"/>
            <a:gd name="adj3" fmla="val 58907"/>
            <a:gd name="adj4" fmla="val -23333"/>
            <a:gd name="adj5" fmla="val 53240"/>
            <a:gd name="adj6" fmla="val -2333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r>
            <a:rPr lang="en-US" cap="none" sz="10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0</xdr:col>
      <xdr:colOff>0</xdr:colOff>
      <xdr:row>286</xdr:row>
      <xdr:rowOff>161925</xdr:rowOff>
    </xdr:from>
    <xdr:to>
      <xdr:col>3</xdr:col>
      <xdr:colOff>552450</xdr:colOff>
      <xdr:row>291</xdr:row>
      <xdr:rowOff>123825</xdr:rowOff>
    </xdr:to>
    <xdr:sp>
      <xdr:nvSpPr>
        <xdr:cNvPr id="48" name="線吹き出し 2 (枠付き) 68"/>
        <xdr:cNvSpPr>
          <a:spLocks/>
        </xdr:cNvSpPr>
      </xdr:nvSpPr>
      <xdr:spPr>
        <a:xfrm>
          <a:off x="0" y="63007875"/>
          <a:ext cx="2381250" cy="1009650"/>
        </a:xfrm>
        <a:prstGeom prst="borderCallout2">
          <a:avLst>
            <a:gd name="adj1" fmla="val 77564"/>
            <a:gd name="adj2" fmla="val 45879"/>
            <a:gd name="adj3" fmla="val 61087"/>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貸付金の件数及び残高と合致すること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をご確認下さい。</a:t>
          </a:r>
        </a:p>
      </xdr:txBody>
    </xdr:sp>
    <xdr:clientData fPrintsWithSheet="0"/>
  </xdr:twoCellAnchor>
  <xdr:twoCellAnchor>
    <xdr:from>
      <xdr:col>0</xdr:col>
      <xdr:colOff>19050</xdr:colOff>
      <xdr:row>216</xdr:row>
      <xdr:rowOff>57150</xdr:rowOff>
    </xdr:from>
    <xdr:to>
      <xdr:col>3</xdr:col>
      <xdr:colOff>571500</xdr:colOff>
      <xdr:row>219</xdr:row>
      <xdr:rowOff>19050</xdr:rowOff>
    </xdr:to>
    <xdr:sp>
      <xdr:nvSpPr>
        <xdr:cNvPr id="49" name="線吹き出し 2 (枠付き) 57"/>
        <xdr:cNvSpPr>
          <a:spLocks/>
        </xdr:cNvSpPr>
      </xdr:nvSpPr>
      <xdr:spPr>
        <a:xfrm>
          <a:off x="19050" y="44738925"/>
          <a:ext cx="2381250" cy="590550"/>
        </a:xfrm>
        <a:prstGeom prst="borderCallout2">
          <a:avLst>
            <a:gd name="adj1" fmla="val 62962"/>
            <a:gd name="adj2" fmla="val -141342"/>
            <a:gd name="adj3" fmla="val 56375"/>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232</xdr:row>
      <xdr:rowOff>381000</xdr:rowOff>
    </xdr:from>
    <xdr:to>
      <xdr:col>3</xdr:col>
      <xdr:colOff>590550</xdr:colOff>
      <xdr:row>234</xdr:row>
      <xdr:rowOff>190500</xdr:rowOff>
    </xdr:to>
    <xdr:sp>
      <xdr:nvSpPr>
        <xdr:cNvPr id="50" name="線吹き出し 2 (枠付き) 57"/>
        <xdr:cNvSpPr>
          <a:spLocks/>
        </xdr:cNvSpPr>
      </xdr:nvSpPr>
      <xdr:spPr>
        <a:xfrm>
          <a:off x="38100" y="48282225"/>
          <a:ext cx="2381250" cy="647700"/>
        </a:xfrm>
        <a:prstGeom prst="borderCallout2">
          <a:avLst>
            <a:gd name="adj1" fmla="val 62046"/>
            <a:gd name="adj2" fmla="val -136763"/>
            <a:gd name="adj3" fmla="val 56828"/>
            <a:gd name="adj4" fmla="val -32351"/>
            <a:gd name="adj5" fmla="val 53212"/>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貸金業法完全施行後（平成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日）に実施したものについてのみ記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載して下さい。</a:t>
          </a:r>
        </a:p>
      </xdr:txBody>
    </xdr:sp>
    <xdr:clientData fPrintsWithSheet="0"/>
  </xdr:twoCellAnchor>
  <xdr:twoCellAnchor>
    <xdr:from>
      <xdr:col>0</xdr:col>
      <xdr:colOff>0</xdr:colOff>
      <xdr:row>306</xdr:row>
      <xdr:rowOff>19050</xdr:rowOff>
    </xdr:from>
    <xdr:to>
      <xdr:col>3</xdr:col>
      <xdr:colOff>552450</xdr:colOff>
      <xdr:row>308</xdr:row>
      <xdr:rowOff>95250</xdr:rowOff>
    </xdr:to>
    <xdr:sp>
      <xdr:nvSpPr>
        <xdr:cNvPr id="51" name="線吹き出し 2 (枠付き) 57"/>
        <xdr:cNvSpPr>
          <a:spLocks/>
        </xdr:cNvSpPr>
      </xdr:nvSpPr>
      <xdr:spPr>
        <a:xfrm>
          <a:off x="0" y="66827400"/>
          <a:ext cx="2381250" cy="495300"/>
        </a:xfrm>
        <a:prstGeom prst="borderCallout2">
          <a:avLst>
            <a:gd name="adj1" fmla="val 63768"/>
            <a:gd name="adj2" fmla="val -154120"/>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0</xdr:colOff>
      <xdr:row>308</xdr:row>
      <xdr:rowOff>171450</xdr:rowOff>
    </xdr:from>
    <xdr:to>
      <xdr:col>3</xdr:col>
      <xdr:colOff>552450</xdr:colOff>
      <xdr:row>313</xdr:row>
      <xdr:rowOff>76200</xdr:rowOff>
    </xdr:to>
    <xdr:sp>
      <xdr:nvSpPr>
        <xdr:cNvPr id="52" name="線吹き出し 2 (枠付き) 68"/>
        <xdr:cNvSpPr>
          <a:spLocks/>
        </xdr:cNvSpPr>
      </xdr:nvSpPr>
      <xdr:spPr>
        <a:xfrm>
          <a:off x="0" y="67398900"/>
          <a:ext cx="2381250" cy="952500"/>
        </a:xfrm>
        <a:prstGeom prst="borderCallout2">
          <a:avLst>
            <a:gd name="adj1" fmla="val 70254"/>
            <a:gd name="adj2" fmla="val 10837"/>
            <a:gd name="adj3" fmla="val 57027"/>
            <a:gd name="adj4" fmla="val 3222"/>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付金の種別残高）の消費者向無担保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貸付金の件数及び残高と合致すること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をご確認下さい。</a:t>
          </a:r>
        </a:p>
      </xdr:txBody>
    </xdr:sp>
    <xdr:clientData fPrintsWithSheet="0"/>
  </xdr:twoCellAnchor>
  <xdr:twoCellAnchor>
    <xdr:from>
      <xdr:col>0</xdr:col>
      <xdr:colOff>19050</xdr:colOff>
      <xdr:row>329</xdr:row>
      <xdr:rowOff>19050</xdr:rowOff>
    </xdr:from>
    <xdr:to>
      <xdr:col>3</xdr:col>
      <xdr:colOff>561975</xdr:colOff>
      <xdr:row>334</xdr:row>
      <xdr:rowOff>161925</xdr:rowOff>
    </xdr:to>
    <xdr:sp>
      <xdr:nvSpPr>
        <xdr:cNvPr id="53" name="線吹き出し 2 (枠付き) 68"/>
        <xdr:cNvSpPr>
          <a:spLocks/>
        </xdr:cNvSpPr>
      </xdr:nvSpPr>
      <xdr:spPr>
        <a:xfrm>
          <a:off x="19050" y="71532750"/>
          <a:ext cx="2371725" cy="1076325"/>
        </a:xfrm>
        <a:prstGeom prst="borderCallout2">
          <a:avLst>
            <a:gd name="adj1" fmla="val 71138"/>
            <a:gd name="adj2" fmla="val -1134"/>
            <a:gd name="adj3" fmla="val 59689"/>
            <a:gd name="adj4" fmla="val -1787"/>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付金の種別残高）の</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向無担保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貸付金の件数及び残高と合致すること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をご確認下さい。</a:t>
          </a:r>
        </a:p>
      </xdr:txBody>
    </xdr:sp>
    <xdr:clientData fPrintsWithSheet="0"/>
  </xdr:twoCellAnchor>
  <xdr:twoCellAnchor>
    <xdr:from>
      <xdr:col>0</xdr:col>
      <xdr:colOff>19050</xdr:colOff>
      <xdr:row>348</xdr:row>
      <xdr:rowOff>180975</xdr:rowOff>
    </xdr:from>
    <xdr:to>
      <xdr:col>3</xdr:col>
      <xdr:colOff>571500</xdr:colOff>
      <xdr:row>353</xdr:row>
      <xdr:rowOff>171450</xdr:rowOff>
    </xdr:to>
    <xdr:sp>
      <xdr:nvSpPr>
        <xdr:cNvPr id="54" name="線吹き出し 2 (枠付き) 68"/>
        <xdr:cNvSpPr>
          <a:spLocks/>
        </xdr:cNvSpPr>
      </xdr:nvSpPr>
      <xdr:spPr>
        <a:xfrm>
          <a:off x="19050" y="75447525"/>
          <a:ext cx="2381250" cy="1038225"/>
        </a:xfrm>
        <a:prstGeom prst="borderCallout2">
          <a:avLst>
            <a:gd name="adj1" fmla="val 69365"/>
            <a:gd name="adj2" fmla="val 5745"/>
            <a:gd name="adj3" fmla="val 58361"/>
            <a:gd name="adj4" fmla="val 1541"/>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件数合計及び残高合計が、表１（貸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付金の種別残高）の事業者向無担保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貸付金の件数及び残高と合致すること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をご確認下さい。</a:t>
          </a:r>
        </a:p>
      </xdr:txBody>
    </xdr:sp>
    <xdr:clientData fPrintsWithSheet="0"/>
  </xdr:twoCellAnchor>
  <xdr:twoCellAnchor>
    <xdr:from>
      <xdr:col>0</xdr:col>
      <xdr:colOff>19050</xdr:colOff>
      <xdr:row>345</xdr:row>
      <xdr:rowOff>47625</xdr:rowOff>
    </xdr:from>
    <xdr:to>
      <xdr:col>3</xdr:col>
      <xdr:colOff>571500</xdr:colOff>
      <xdr:row>347</xdr:row>
      <xdr:rowOff>171450</xdr:rowOff>
    </xdr:to>
    <xdr:sp>
      <xdr:nvSpPr>
        <xdr:cNvPr id="55" name="線吹き出し 2 (枠付き) 57"/>
        <xdr:cNvSpPr>
          <a:spLocks/>
        </xdr:cNvSpPr>
      </xdr:nvSpPr>
      <xdr:spPr>
        <a:xfrm>
          <a:off x="19050" y="74685525"/>
          <a:ext cx="2381250" cy="542925"/>
        </a:xfrm>
        <a:prstGeom prst="borderCallout2">
          <a:avLst>
            <a:gd name="adj1" fmla="val 63365"/>
            <a:gd name="adj2" fmla="val -147388"/>
            <a:gd name="adj3" fmla="val 55574"/>
            <a:gd name="adj4" fmla="val -60689"/>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357</xdr:row>
      <xdr:rowOff>104775</xdr:rowOff>
    </xdr:from>
    <xdr:to>
      <xdr:col>3</xdr:col>
      <xdr:colOff>581025</xdr:colOff>
      <xdr:row>363</xdr:row>
      <xdr:rowOff>95250</xdr:rowOff>
    </xdr:to>
    <xdr:sp>
      <xdr:nvSpPr>
        <xdr:cNvPr id="56" name="正方形/長方形 54"/>
        <xdr:cNvSpPr>
          <a:spLocks/>
        </xdr:cNvSpPr>
      </xdr:nvSpPr>
      <xdr:spPr>
        <a:xfrm>
          <a:off x="38100" y="772572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0</xdr:colOff>
      <xdr:row>379</xdr:row>
      <xdr:rowOff>171450</xdr:rowOff>
    </xdr:from>
    <xdr:to>
      <xdr:col>3</xdr:col>
      <xdr:colOff>552450</xdr:colOff>
      <xdr:row>382</xdr:row>
      <xdr:rowOff>161925</xdr:rowOff>
    </xdr:to>
    <xdr:sp>
      <xdr:nvSpPr>
        <xdr:cNvPr id="57" name="線吹き出し 2 (枠付き) 68"/>
        <xdr:cNvSpPr>
          <a:spLocks/>
        </xdr:cNvSpPr>
      </xdr:nvSpPr>
      <xdr:spPr>
        <a:xfrm>
          <a:off x="0" y="81705450"/>
          <a:ext cx="2381250" cy="50482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r>
            <a:rPr lang="en-US" cap="none" sz="10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0</xdr:col>
      <xdr:colOff>0</xdr:colOff>
      <xdr:row>393</xdr:row>
      <xdr:rowOff>171450</xdr:rowOff>
    </xdr:from>
    <xdr:to>
      <xdr:col>3</xdr:col>
      <xdr:colOff>552450</xdr:colOff>
      <xdr:row>396</xdr:row>
      <xdr:rowOff>171450</xdr:rowOff>
    </xdr:to>
    <xdr:sp>
      <xdr:nvSpPr>
        <xdr:cNvPr id="58" name="線吹き出し 2 (枠付き) 68"/>
        <xdr:cNvSpPr>
          <a:spLocks/>
        </xdr:cNvSpPr>
      </xdr:nvSpPr>
      <xdr:spPr>
        <a:xfrm>
          <a:off x="0" y="84439125"/>
          <a:ext cx="2381250" cy="514350"/>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「当該年度平均貸付残高」の単位は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r>
            <a:rPr lang="en-US" cap="none" sz="10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45</xdr:col>
      <xdr:colOff>333375</xdr:colOff>
      <xdr:row>28</xdr:row>
      <xdr:rowOff>142875</xdr:rowOff>
    </xdr:from>
    <xdr:to>
      <xdr:col>118</xdr:col>
      <xdr:colOff>647700</xdr:colOff>
      <xdr:row>37</xdr:row>
      <xdr:rowOff>161925</xdr:rowOff>
    </xdr:to>
    <xdr:sp>
      <xdr:nvSpPr>
        <xdr:cNvPr id="59" name="線吹き出し 2 (枠付き) 23"/>
        <xdr:cNvSpPr>
          <a:spLocks/>
        </xdr:cNvSpPr>
      </xdr:nvSpPr>
      <xdr:spPr>
        <a:xfrm>
          <a:off x="9667875" y="6019800"/>
          <a:ext cx="2886075" cy="1924050"/>
        </a:xfrm>
        <a:prstGeom prst="borderCallout2">
          <a:avLst>
            <a:gd name="adj1" fmla="val -87837"/>
            <a:gd name="adj2" fmla="val -122111"/>
            <a:gd name="adj3" fmla="val -58726"/>
            <a:gd name="adj4" fmla="val -99120"/>
            <a:gd name="adj5" fmla="val -50634"/>
            <a:gd name="adj6" fmla="val -1443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50" b="0" i="0" u="none" baseline="0">
              <a:solidFill>
                <a:srgbClr val="000000"/>
              </a:solidFill>
            </a:rPr>
            <a:t>◆登録番号の入力について</a:t>
          </a:r>
          <a:r>
            <a:rPr lang="en-US" cap="none" sz="1050" b="0" i="0" u="none" baseline="0">
              <a:solidFill>
                <a:srgbClr val="000000"/>
              </a:solidFill>
            </a:rPr>
            <a:t>
</a:t>
          </a:r>
          <a:r>
            <a:rPr lang="en-US" cap="none" sz="1000" b="0" i="0" u="none" baseline="0">
              <a:solidFill>
                <a:srgbClr val="000000"/>
              </a:solidFill>
            </a:rPr>
            <a:t>　登録番号は、</a:t>
          </a:r>
          <a:r>
            <a:rPr lang="en-US" cap="none" sz="1000" b="0" i="0" u="none" baseline="0">
              <a:solidFill>
                <a:srgbClr val="000000"/>
              </a:solidFill>
            </a:rPr>
            <a:t>
</a:t>
          </a:r>
          <a:r>
            <a:rPr lang="en-US" cap="none" sz="1000" b="0" i="0" u="none" baseline="0">
              <a:solidFill>
                <a:srgbClr val="000000"/>
              </a:solidFill>
            </a:rPr>
            <a:t>　登録行政庁の登録内容に従って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00000</a:t>
          </a:r>
          <a:r>
            <a:rPr lang="en-US" cap="none" sz="1000" b="0" i="0" u="none" baseline="0">
              <a:solidFill>
                <a:srgbClr val="000000"/>
              </a:solidFill>
            </a:rPr>
            <a:t>」（５桁）又は「</a:t>
          </a:r>
          <a:r>
            <a:rPr lang="en-US" cap="none" sz="1000" b="0" i="0" u="none" baseline="0">
              <a:solidFill>
                <a:srgbClr val="000000"/>
              </a:solidFill>
            </a:rPr>
            <a:t>0000</a:t>
          </a:r>
          <a:r>
            <a:rPr lang="en-US" cap="none" sz="1000" b="0" i="0" u="none" baseline="0">
              <a:solidFill>
                <a:srgbClr val="000000"/>
              </a:solidFill>
            </a:rPr>
            <a:t>」（４桁）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で頭に「</a:t>
          </a:r>
          <a:r>
            <a:rPr lang="en-US" cap="none" sz="1000" b="0" i="0" u="none" baseline="0">
              <a:solidFill>
                <a:srgbClr val="000000"/>
              </a:solidFill>
            </a:rPr>
            <a:t>0</a:t>
          </a:r>
          <a:r>
            <a:rPr lang="en-US" cap="none" sz="1000" b="0" i="0" u="none" baseline="0">
              <a:solidFill>
                <a:srgbClr val="000000"/>
              </a:solidFill>
            </a:rPr>
            <a:t>」をつけて入力してください。</a:t>
          </a:r>
          <a:r>
            <a:rPr lang="en-US" cap="none" sz="1000" b="0" i="0" u="none" baseline="0">
              <a:solidFill>
                <a:srgbClr val="000000"/>
              </a:solidFill>
            </a:rPr>
            <a:t>
</a:t>
          </a:r>
          <a:r>
            <a:rPr lang="en-US" cap="none" sz="1000" b="0" i="0" u="none" baseline="0">
              <a:solidFill>
                <a:srgbClr val="000000"/>
              </a:solidFill>
            </a:rPr>
            <a:t>　例：第</a:t>
          </a:r>
          <a:r>
            <a:rPr lang="en-US" cap="none" sz="1000" b="0" i="0" u="none" baseline="0">
              <a:solidFill>
                <a:srgbClr val="000000"/>
              </a:solidFill>
            </a:rPr>
            <a:t>00025</a:t>
          </a:r>
          <a:r>
            <a:rPr lang="en-US" cap="none" sz="1000" b="0" i="0" u="none" baseline="0">
              <a:solidFill>
                <a:srgbClr val="000000"/>
              </a:solidFill>
            </a:rPr>
            <a:t>号の場合「</a:t>
          </a:r>
          <a:r>
            <a:rPr lang="en-US" cap="none" sz="1000" b="0" i="0" u="none" baseline="0">
              <a:solidFill>
                <a:srgbClr val="000000"/>
              </a:solidFill>
            </a:rPr>
            <a:t>00025</a:t>
          </a:r>
          <a:r>
            <a:rPr lang="en-US" cap="none" sz="1000" b="0" i="0" u="none" baseline="0">
              <a:solidFill>
                <a:srgbClr val="000000"/>
              </a:solidFill>
            </a:rPr>
            <a:t>」と入力</a:t>
          </a:r>
          <a:r>
            <a:rPr lang="en-US" cap="none" sz="1000" b="0" i="0" u="none" baseline="0">
              <a:solidFill>
                <a:srgbClr val="000000"/>
              </a:solidFill>
            </a:rPr>
            <a:t>
</a:t>
          </a:r>
          <a:r>
            <a:rPr lang="en-US" cap="none" sz="1000" b="0" i="0" u="none" baseline="0">
              <a:solidFill>
                <a:srgbClr val="000000"/>
              </a:solidFill>
            </a:rPr>
            <a:t>　　　第</a:t>
          </a:r>
          <a:r>
            <a:rPr lang="en-US" cap="none" sz="1000" b="0" i="0" u="none" baseline="0">
              <a:solidFill>
                <a:srgbClr val="000000"/>
              </a:solidFill>
            </a:rPr>
            <a:t>0123</a:t>
          </a:r>
          <a:r>
            <a:rPr lang="en-US" cap="none" sz="1000" b="0" i="0" u="none" baseline="0">
              <a:solidFill>
                <a:srgbClr val="000000"/>
              </a:solidFill>
            </a:rPr>
            <a:t>号の場合「</a:t>
          </a:r>
          <a:r>
            <a:rPr lang="en-US" cap="none" sz="1000" b="0" i="0" u="none" baseline="0">
              <a:solidFill>
                <a:srgbClr val="000000"/>
              </a:solidFill>
            </a:rPr>
            <a:t>0123</a:t>
          </a:r>
          <a:r>
            <a:rPr lang="en-US" cap="none" sz="1000" b="0" i="0" u="none" baseline="0">
              <a:solidFill>
                <a:srgbClr val="000000"/>
              </a:solidFill>
            </a:rPr>
            <a:t>」と入力</a:t>
          </a:r>
          <a:r>
            <a:rPr lang="en-US" cap="none" sz="1000" b="0" i="0" u="none" baseline="0">
              <a:solidFill>
                <a:srgbClr val="000000"/>
              </a:solidFill>
            </a:rPr>
            <a:t>
</a:t>
          </a:r>
          <a:r>
            <a:rPr lang="en-US" cap="none" sz="10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桁又は</a:t>
          </a:r>
          <a:r>
            <a:rPr lang="en-US" cap="none" sz="1100" b="1" i="0" u="none" baseline="0">
              <a:solidFill>
                <a:srgbClr val="000000"/>
              </a:solidFill>
              <a:latin typeface="ＭＳ Ｐゴシック"/>
              <a:ea typeface="ＭＳ Ｐゴシック"/>
              <a:cs typeface="ＭＳ Ｐゴシック"/>
            </a:rPr>
            <a:t>５</a:t>
          </a:r>
          <a:r>
            <a:rPr lang="en-US" cap="none" sz="1100" b="1" i="0" u="none" baseline="0">
              <a:solidFill>
                <a:srgbClr val="000000"/>
              </a:solidFill>
              <a:latin typeface="ＭＳ Ｐゴシック"/>
              <a:ea typeface="ＭＳ Ｐゴシック"/>
              <a:cs typeface="ＭＳ Ｐゴシック"/>
            </a:rPr>
            <a:t>桁の入力が行われないと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エラーがでます。</a:t>
          </a:r>
        </a:p>
      </xdr:txBody>
    </xdr:sp>
    <xdr:clientData fPrintsWithSheet="0"/>
  </xdr:twoCellAnchor>
  <xdr:twoCellAnchor>
    <xdr:from>
      <xdr:col>45</xdr:col>
      <xdr:colOff>66675</xdr:colOff>
      <xdr:row>108</xdr:row>
      <xdr:rowOff>19050</xdr:rowOff>
    </xdr:from>
    <xdr:to>
      <xdr:col>118</xdr:col>
      <xdr:colOff>390525</xdr:colOff>
      <xdr:row>112</xdr:row>
      <xdr:rowOff>123825</xdr:rowOff>
    </xdr:to>
    <xdr:sp>
      <xdr:nvSpPr>
        <xdr:cNvPr id="60" name="線吹き出し 2 (枠付き) 23"/>
        <xdr:cNvSpPr>
          <a:spLocks/>
        </xdr:cNvSpPr>
      </xdr:nvSpPr>
      <xdr:spPr>
        <a:xfrm>
          <a:off x="9401175" y="23526750"/>
          <a:ext cx="2895600" cy="904875"/>
        </a:xfrm>
        <a:prstGeom prst="borderCallout2">
          <a:avLst>
            <a:gd name="adj1" fmla="val -153439"/>
            <a:gd name="adj2" fmla="val -50347"/>
            <a:gd name="adj3" fmla="val -153055"/>
            <a:gd name="adj4" fmla="val -20157"/>
            <a:gd name="adj5" fmla="val -50634"/>
            <a:gd name="adj6" fmla="val -1443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50" b="0" i="0" u="none" baseline="0">
              <a:solidFill>
                <a:srgbClr val="000000"/>
              </a:solidFill>
            </a:rPr>
            <a:t>◆残高の「計」や「合計」は、手入力して</a:t>
          </a:r>
          <a:r>
            <a:rPr lang="en-US" cap="none" sz="1050" b="0" i="0" u="none" baseline="0">
              <a:solidFill>
                <a:srgbClr val="000000"/>
              </a:solidFill>
            </a:rPr>
            <a:t>
</a:t>
          </a:r>
          <a:r>
            <a:rPr lang="en-US" cap="none" sz="1050" b="0" i="0" u="none" baseline="0">
              <a:solidFill>
                <a:srgbClr val="000000"/>
              </a:solidFill>
            </a:rPr>
            <a:t>　下さい。</a:t>
          </a:r>
          <a:r>
            <a:rPr lang="en-US" cap="none" sz="105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1" i="0" u="sng" baseline="0">
              <a:solidFill>
                <a:srgbClr val="000000"/>
              </a:solidFill>
            </a:rPr>
            <a:t>★自動計算式は設定しておりません</a:t>
          </a:r>
          <a:r>
            <a:rPr lang="en-US" cap="none" sz="1000" b="0" i="0" u="none" baseline="0">
              <a:solidFill>
                <a:srgbClr val="000000"/>
              </a:solidFill>
            </a:rPr>
            <a:t>。</a:t>
          </a:r>
        </a:p>
      </xdr:txBody>
    </xdr:sp>
    <xdr:clientData fPrintsWithSheet="0"/>
  </xdr:twoCellAnchor>
  <xdr:twoCellAnchor>
    <xdr:from>
      <xdr:col>0</xdr:col>
      <xdr:colOff>0</xdr:colOff>
      <xdr:row>234</xdr:row>
      <xdr:rowOff>361950</xdr:rowOff>
    </xdr:from>
    <xdr:to>
      <xdr:col>3</xdr:col>
      <xdr:colOff>590550</xdr:colOff>
      <xdr:row>248</xdr:row>
      <xdr:rowOff>209550</xdr:rowOff>
    </xdr:to>
    <xdr:sp>
      <xdr:nvSpPr>
        <xdr:cNvPr id="61" name="正方形/長方形 54"/>
        <xdr:cNvSpPr>
          <a:spLocks/>
        </xdr:cNvSpPr>
      </xdr:nvSpPr>
      <xdr:spPr>
        <a:xfrm>
          <a:off x="0" y="49101375"/>
          <a:ext cx="2419350" cy="57150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表６　貸付種別の説明</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貸付種別の概要は以下の通りです。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略記なので、詳細は、施行規則の原文を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確認して下さい。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下記の記載は表の項目順序に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従って記載してあります。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除外貸付</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のつなぎ融資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自動車購入のための自動車担保ﾛｰﾝ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高額医療費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金商法に定める一定の有価証券担保貸付け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返済能力を超えない不動産貸付け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（居住用不動産等は除外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売却予定不動産による弁済予定の契約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（顧客の返済能力を超えないもの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手形割引や金商業者が行う一定の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有価証券担保ローン・媒介契約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例外契約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緊急医療費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同一生計者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特定費用貸付け</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万円以下、</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カ月以内等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配偶者との年収合算基準による貸付け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個人事業者向け貸付け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新規事業資金貸付け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個人事業者向け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金融機関からの貸付けのつなぎ融資</a:t>
          </a:r>
        </a:p>
      </xdr:txBody>
    </xdr:sp>
    <xdr:clientData fPrintsWithSheet="0"/>
  </xdr:twoCellAnchor>
  <xdr:twoCellAnchor editAs="oneCell">
    <xdr:from>
      <xdr:col>45</xdr:col>
      <xdr:colOff>47625</xdr:colOff>
      <xdr:row>94</xdr:row>
      <xdr:rowOff>47625</xdr:rowOff>
    </xdr:from>
    <xdr:to>
      <xdr:col>45</xdr:col>
      <xdr:colOff>1085850</xdr:colOff>
      <xdr:row>96</xdr:row>
      <xdr:rowOff>19050</xdr:rowOff>
    </xdr:to>
    <xdr:pic>
      <xdr:nvPicPr>
        <xdr:cNvPr id="62" name="CommandButton_表1_表示"/>
        <xdr:cNvPicPr preferRelativeResize="1">
          <a:picLocks noChangeAspect="1"/>
        </xdr:cNvPicPr>
      </xdr:nvPicPr>
      <xdr:blipFill>
        <a:blip r:embed="rId1"/>
        <a:stretch>
          <a:fillRect/>
        </a:stretch>
      </xdr:blipFill>
      <xdr:spPr>
        <a:xfrm>
          <a:off x="9382125" y="19783425"/>
          <a:ext cx="1038225" cy="276225"/>
        </a:xfrm>
        <a:prstGeom prst="rect">
          <a:avLst/>
        </a:prstGeom>
        <a:solidFill>
          <a:srgbClr val="FFFFFF"/>
        </a:solidFill>
        <a:ln w="1" cmpd="sng">
          <a:noFill/>
        </a:ln>
      </xdr:spPr>
    </xdr:pic>
    <xdr:clientData/>
  </xdr:twoCellAnchor>
  <xdr:twoCellAnchor editAs="oneCell">
    <xdr:from>
      <xdr:col>45</xdr:col>
      <xdr:colOff>1114425</xdr:colOff>
      <xdr:row>94</xdr:row>
      <xdr:rowOff>47625</xdr:rowOff>
    </xdr:from>
    <xdr:to>
      <xdr:col>45</xdr:col>
      <xdr:colOff>1676400</xdr:colOff>
      <xdr:row>96</xdr:row>
      <xdr:rowOff>19050</xdr:rowOff>
    </xdr:to>
    <xdr:pic>
      <xdr:nvPicPr>
        <xdr:cNvPr id="63" name="CommandButton_表1_非表示"/>
        <xdr:cNvPicPr preferRelativeResize="1">
          <a:picLocks noChangeAspect="1"/>
        </xdr:cNvPicPr>
      </xdr:nvPicPr>
      <xdr:blipFill>
        <a:blip r:embed="rId2"/>
        <a:stretch>
          <a:fillRect/>
        </a:stretch>
      </xdr:blipFill>
      <xdr:spPr>
        <a:xfrm>
          <a:off x="10448925" y="19783425"/>
          <a:ext cx="561975" cy="276225"/>
        </a:xfrm>
        <a:prstGeom prst="rect">
          <a:avLst/>
        </a:prstGeom>
        <a:solidFill>
          <a:srgbClr val="FFFFFF"/>
        </a:solidFill>
        <a:ln w="1" cmpd="sng">
          <a:noFill/>
        </a:ln>
      </xdr:spPr>
    </xdr:pic>
    <xdr:clientData/>
  </xdr:twoCellAnchor>
  <xdr:twoCellAnchor editAs="oneCell">
    <xdr:from>
      <xdr:col>45</xdr:col>
      <xdr:colOff>38100</xdr:colOff>
      <xdr:row>120</xdr:row>
      <xdr:rowOff>0</xdr:rowOff>
    </xdr:from>
    <xdr:to>
      <xdr:col>45</xdr:col>
      <xdr:colOff>1076325</xdr:colOff>
      <xdr:row>121</xdr:row>
      <xdr:rowOff>66675</xdr:rowOff>
    </xdr:to>
    <xdr:pic>
      <xdr:nvPicPr>
        <xdr:cNvPr id="64" name="CommandButton_表2_表示"/>
        <xdr:cNvPicPr preferRelativeResize="1">
          <a:picLocks noChangeAspect="1"/>
        </xdr:cNvPicPr>
      </xdr:nvPicPr>
      <xdr:blipFill>
        <a:blip r:embed="rId3"/>
        <a:stretch>
          <a:fillRect/>
        </a:stretch>
      </xdr:blipFill>
      <xdr:spPr>
        <a:xfrm>
          <a:off x="9372600" y="25831800"/>
          <a:ext cx="1038225" cy="276225"/>
        </a:xfrm>
        <a:prstGeom prst="rect">
          <a:avLst/>
        </a:prstGeom>
        <a:solidFill>
          <a:srgbClr val="FFFFFF"/>
        </a:solidFill>
        <a:ln w="1" cmpd="sng">
          <a:noFill/>
        </a:ln>
      </xdr:spPr>
    </xdr:pic>
    <xdr:clientData/>
  </xdr:twoCellAnchor>
  <xdr:twoCellAnchor editAs="oneCell">
    <xdr:from>
      <xdr:col>45</xdr:col>
      <xdr:colOff>1114425</xdr:colOff>
      <xdr:row>120</xdr:row>
      <xdr:rowOff>0</xdr:rowOff>
    </xdr:from>
    <xdr:to>
      <xdr:col>45</xdr:col>
      <xdr:colOff>1676400</xdr:colOff>
      <xdr:row>121</xdr:row>
      <xdr:rowOff>66675</xdr:rowOff>
    </xdr:to>
    <xdr:pic>
      <xdr:nvPicPr>
        <xdr:cNvPr id="65" name="CommandButton_表2_非表示"/>
        <xdr:cNvPicPr preferRelativeResize="1">
          <a:picLocks noChangeAspect="1"/>
        </xdr:cNvPicPr>
      </xdr:nvPicPr>
      <xdr:blipFill>
        <a:blip r:embed="rId4"/>
        <a:stretch>
          <a:fillRect/>
        </a:stretch>
      </xdr:blipFill>
      <xdr:spPr>
        <a:xfrm>
          <a:off x="10448925" y="25831800"/>
          <a:ext cx="561975" cy="276225"/>
        </a:xfrm>
        <a:prstGeom prst="rect">
          <a:avLst/>
        </a:prstGeom>
        <a:solidFill>
          <a:srgbClr val="FFFFFF"/>
        </a:solidFill>
        <a:ln w="1" cmpd="sng">
          <a:noFill/>
        </a:ln>
      </xdr:spPr>
    </xdr:pic>
    <xdr:clientData/>
  </xdr:twoCellAnchor>
  <xdr:twoCellAnchor editAs="oneCell">
    <xdr:from>
      <xdr:col>45</xdr:col>
      <xdr:colOff>47625</xdr:colOff>
      <xdr:row>157</xdr:row>
      <xdr:rowOff>66675</xdr:rowOff>
    </xdr:from>
    <xdr:to>
      <xdr:col>45</xdr:col>
      <xdr:colOff>1085850</xdr:colOff>
      <xdr:row>159</xdr:row>
      <xdr:rowOff>66675</xdr:rowOff>
    </xdr:to>
    <xdr:pic>
      <xdr:nvPicPr>
        <xdr:cNvPr id="66" name="CommandButton_表3_表示"/>
        <xdr:cNvPicPr preferRelativeResize="1">
          <a:picLocks noChangeAspect="1"/>
        </xdr:cNvPicPr>
      </xdr:nvPicPr>
      <xdr:blipFill>
        <a:blip r:embed="rId5"/>
        <a:stretch>
          <a:fillRect/>
        </a:stretch>
      </xdr:blipFill>
      <xdr:spPr>
        <a:xfrm>
          <a:off x="9382125" y="33480375"/>
          <a:ext cx="1038225" cy="276225"/>
        </a:xfrm>
        <a:prstGeom prst="rect">
          <a:avLst/>
        </a:prstGeom>
        <a:solidFill>
          <a:srgbClr val="FFFFFF"/>
        </a:solidFill>
        <a:ln w="1" cmpd="sng">
          <a:noFill/>
        </a:ln>
      </xdr:spPr>
    </xdr:pic>
    <xdr:clientData/>
  </xdr:twoCellAnchor>
  <xdr:twoCellAnchor editAs="oneCell">
    <xdr:from>
      <xdr:col>45</xdr:col>
      <xdr:colOff>1133475</xdr:colOff>
      <xdr:row>157</xdr:row>
      <xdr:rowOff>66675</xdr:rowOff>
    </xdr:from>
    <xdr:to>
      <xdr:col>45</xdr:col>
      <xdr:colOff>1695450</xdr:colOff>
      <xdr:row>159</xdr:row>
      <xdr:rowOff>66675</xdr:rowOff>
    </xdr:to>
    <xdr:pic>
      <xdr:nvPicPr>
        <xdr:cNvPr id="67" name="CommandButton_表3_非表示"/>
        <xdr:cNvPicPr preferRelativeResize="1">
          <a:picLocks noChangeAspect="1"/>
        </xdr:cNvPicPr>
      </xdr:nvPicPr>
      <xdr:blipFill>
        <a:blip r:embed="rId6"/>
        <a:stretch>
          <a:fillRect/>
        </a:stretch>
      </xdr:blipFill>
      <xdr:spPr>
        <a:xfrm>
          <a:off x="10467975" y="33480375"/>
          <a:ext cx="561975" cy="276225"/>
        </a:xfrm>
        <a:prstGeom prst="rect">
          <a:avLst/>
        </a:prstGeom>
        <a:solidFill>
          <a:srgbClr val="FFFFFF"/>
        </a:solidFill>
        <a:ln w="1" cmpd="sng">
          <a:noFill/>
        </a:ln>
      </xdr:spPr>
    </xdr:pic>
    <xdr:clientData/>
  </xdr:twoCellAnchor>
  <xdr:twoCellAnchor editAs="oneCell">
    <xdr:from>
      <xdr:col>45</xdr:col>
      <xdr:colOff>47625</xdr:colOff>
      <xdr:row>188</xdr:row>
      <xdr:rowOff>38100</xdr:rowOff>
    </xdr:from>
    <xdr:to>
      <xdr:col>45</xdr:col>
      <xdr:colOff>1085850</xdr:colOff>
      <xdr:row>190</xdr:row>
      <xdr:rowOff>57150</xdr:rowOff>
    </xdr:to>
    <xdr:pic>
      <xdr:nvPicPr>
        <xdr:cNvPr id="68" name="CommandButton_表4_表示"/>
        <xdr:cNvPicPr preferRelativeResize="1">
          <a:picLocks noChangeAspect="1"/>
        </xdr:cNvPicPr>
      </xdr:nvPicPr>
      <xdr:blipFill>
        <a:blip r:embed="rId7"/>
        <a:stretch>
          <a:fillRect/>
        </a:stretch>
      </xdr:blipFill>
      <xdr:spPr>
        <a:xfrm>
          <a:off x="9382125" y="39338250"/>
          <a:ext cx="1038225" cy="276225"/>
        </a:xfrm>
        <a:prstGeom prst="rect">
          <a:avLst/>
        </a:prstGeom>
        <a:solidFill>
          <a:srgbClr val="FFFFFF"/>
        </a:solidFill>
        <a:ln w="1" cmpd="sng">
          <a:noFill/>
        </a:ln>
      </xdr:spPr>
    </xdr:pic>
    <xdr:clientData/>
  </xdr:twoCellAnchor>
  <xdr:twoCellAnchor editAs="oneCell">
    <xdr:from>
      <xdr:col>45</xdr:col>
      <xdr:colOff>1133475</xdr:colOff>
      <xdr:row>188</xdr:row>
      <xdr:rowOff>38100</xdr:rowOff>
    </xdr:from>
    <xdr:to>
      <xdr:col>45</xdr:col>
      <xdr:colOff>1695450</xdr:colOff>
      <xdr:row>190</xdr:row>
      <xdr:rowOff>57150</xdr:rowOff>
    </xdr:to>
    <xdr:pic>
      <xdr:nvPicPr>
        <xdr:cNvPr id="69" name="CommandButton_表4_非表示"/>
        <xdr:cNvPicPr preferRelativeResize="1">
          <a:picLocks noChangeAspect="1"/>
        </xdr:cNvPicPr>
      </xdr:nvPicPr>
      <xdr:blipFill>
        <a:blip r:embed="rId8"/>
        <a:stretch>
          <a:fillRect/>
        </a:stretch>
      </xdr:blipFill>
      <xdr:spPr>
        <a:xfrm>
          <a:off x="10467975" y="39338250"/>
          <a:ext cx="561975" cy="276225"/>
        </a:xfrm>
        <a:prstGeom prst="rect">
          <a:avLst/>
        </a:prstGeom>
        <a:solidFill>
          <a:srgbClr val="FFFFFF"/>
        </a:solidFill>
        <a:ln w="1" cmpd="sng">
          <a:noFill/>
        </a:ln>
      </xdr:spPr>
    </xdr:pic>
    <xdr:clientData/>
  </xdr:twoCellAnchor>
  <xdr:twoCellAnchor editAs="oneCell">
    <xdr:from>
      <xdr:col>45</xdr:col>
      <xdr:colOff>47625</xdr:colOff>
      <xdr:row>212</xdr:row>
      <xdr:rowOff>38100</xdr:rowOff>
    </xdr:from>
    <xdr:to>
      <xdr:col>45</xdr:col>
      <xdr:colOff>1085850</xdr:colOff>
      <xdr:row>213</xdr:row>
      <xdr:rowOff>104775</xdr:rowOff>
    </xdr:to>
    <xdr:pic>
      <xdr:nvPicPr>
        <xdr:cNvPr id="70" name="CommandButton_表5_表示"/>
        <xdr:cNvPicPr preferRelativeResize="1">
          <a:picLocks noChangeAspect="1"/>
        </xdr:cNvPicPr>
      </xdr:nvPicPr>
      <xdr:blipFill>
        <a:blip r:embed="rId9"/>
        <a:stretch>
          <a:fillRect/>
        </a:stretch>
      </xdr:blipFill>
      <xdr:spPr>
        <a:xfrm>
          <a:off x="9382125" y="43881675"/>
          <a:ext cx="1038225" cy="276225"/>
        </a:xfrm>
        <a:prstGeom prst="rect">
          <a:avLst/>
        </a:prstGeom>
        <a:solidFill>
          <a:srgbClr val="FFFFFF"/>
        </a:solidFill>
        <a:ln w="1" cmpd="sng">
          <a:noFill/>
        </a:ln>
      </xdr:spPr>
    </xdr:pic>
    <xdr:clientData/>
  </xdr:twoCellAnchor>
  <xdr:twoCellAnchor editAs="oneCell">
    <xdr:from>
      <xdr:col>45</xdr:col>
      <xdr:colOff>1133475</xdr:colOff>
      <xdr:row>212</xdr:row>
      <xdr:rowOff>38100</xdr:rowOff>
    </xdr:from>
    <xdr:to>
      <xdr:col>45</xdr:col>
      <xdr:colOff>1695450</xdr:colOff>
      <xdr:row>213</xdr:row>
      <xdr:rowOff>104775</xdr:rowOff>
    </xdr:to>
    <xdr:pic>
      <xdr:nvPicPr>
        <xdr:cNvPr id="71" name="CommandButton_表5_非表示"/>
        <xdr:cNvPicPr preferRelativeResize="1">
          <a:picLocks noChangeAspect="1"/>
        </xdr:cNvPicPr>
      </xdr:nvPicPr>
      <xdr:blipFill>
        <a:blip r:embed="rId10"/>
        <a:stretch>
          <a:fillRect/>
        </a:stretch>
      </xdr:blipFill>
      <xdr:spPr>
        <a:xfrm>
          <a:off x="10467975" y="43881675"/>
          <a:ext cx="561975" cy="276225"/>
        </a:xfrm>
        <a:prstGeom prst="rect">
          <a:avLst/>
        </a:prstGeom>
        <a:solidFill>
          <a:srgbClr val="FFFFFF"/>
        </a:solidFill>
        <a:ln w="1" cmpd="sng">
          <a:noFill/>
        </a:ln>
      </xdr:spPr>
    </xdr:pic>
    <xdr:clientData/>
  </xdr:twoCellAnchor>
  <xdr:twoCellAnchor editAs="oneCell">
    <xdr:from>
      <xdr:col>45</xdr:col>
      <xdr:colOff>47625</xdr:colOff>
      <xdr:row>229</xdr:row>
      <xdr:rowOff>38100</xdr:rowOff>
    </xdr:from>
    <xdr:to>
      <xdr:col>45</xdr:col>
      <xdr:colOff>1085850</xdr:colOff>
      <xdr:row>230</xdr:row>
      <xdr:rowOff>104775</xdr:rowOff>
    </xdr:to>
    <xdr:pic>
      <xdr:nvPicPr>
        <xdr:cNvPr id="72" name="CommandButton_表6_表示"/>
        <xdr:cNvPicPr preferRelativeResize="1">
          <a:picLocks noChangeAspect="1"/>
        </xdr:cNvPicPr>
      </xdr:nvPicPr>
      <xdr:blipFill>
        <a:blip r:embed="rId11"/>
        <a:stretch>
          <a:fillRect/>
        </a:stretch>
      </xdr:blipFill>
      <xdr:spPr>
        <a:xfrm>
          <a:off x="9382125" y="47329725"/>
          <a:ext cx="1038225" cy="276225"/>
        </a:xfrm>
        <a:prstGeom prst="rect">
          <a:avLst/>
        </a:prstGeom>
        <a:solidFill>
          <a:srgbClr val="FFFFFF"/>
        </a:solidFill>
        <a:ln w="1" cmpd="sng">
          <a:noFill/>
        </a:ln>
      </xdr:spPr>
    </xdr:pic>
    <xdr:clientData/>
  </xdr:twoCellAnchor>
  <xdr:twoCellAnchor editAs="oneCell">
    <xdr:from>
      <xdr:col>45</xdr:col>
      <xdr:colOff>1133475</xdr:colOff>
      <xdr:row>229</xdr:row>
      <xdr:rowOff>38100</xdr:rowOff>
    </xdr:from>
    <xdr:to>
      <xdr:col>45</xdr:col>
      <xdr:colOff>1695450</xdr:colOff>
      <xdr:row>230</xdr:row>
      <xdr:rowOff>104775</xdr:rowOff>
    </xdr:to>
    <xdr:pic>
      <xdr:nvPicPr>
        <xdr:cNvPr id="73" name="CommandButton_表6_非表示"/>
        <xdr:cNvPicPr preferRelativeResize="1">
          <a:picLocks noChangeAspect="1"/>
        </xdr:cNvPicPr>
      </xdr:nvPicPr>
      <xdr:blipFill>
        <a:blip r:embed="rId12"/>
        <a:stretch>
          <a:fillRect/>
        </a:stretch>
      </xdr:blipFill>
      <xdr:spPr>
        <a:xfrm>
          <a:off x="10467975" y="47329725"/>
          <a:ext cx="561975" cy="276225"/>
        </a:xfrm>
        <a:prstGeom prst="rect">
          <a:avLst/>
        </a:prstGeom>
        <a:solidFill>
          <a:srgbClr val="FFFFFF"/>
        </a:solidFill>
        <a:ln w="1" cmpd="sng">
          <a:noFill/>
        </a:ln>
      </xdr:spPr>
    </xdr:pic>
    <xdr:clientData/>
  </xdr:twoCellAnchor>
  <xdr:twoCellAnchor editAs="oneCell">
    <xdr:from>
      <xdr:col>45</xdr:col>
      <xdr:colOff>47625</xdr:colOff>
      <xdr:row>261</xdr:row>
      <xdr:rowOff>38100</xdr:rowOff>
    </xdr:from>
    <xdr:to>
      <xdr:col>45</xdr:col>
      <xdr:colOff>1085850</xdr:colOff>
      <xdr:row>262</xdr:row>
      <xdr:rowOff>104775</xdr:rowOff>
    </xdr:to>
    <xdr:pic>
      <xdr:nvPicPr>
        <xdr:cNvPr id="74" name="CommandButton_表7_表示"/>
        <xdr:cNvPicPr preferRelativeResize="1">
          <a:picLocks noChangeAspect="1"/>
        </xdr:cNvPicPr>
      </xdr:nvPicPr>
      <xdr:blipFill>
        <a:blip r:embed="rId13"/>
        <a:stretch>
          <a:fillRect/>
        </a:stretch>
      </xdr:blipFill>
      <xdr:spPr>
        <a:xfrm>
          <a:off x="9382125" y="57692925"/>
          <a:ext cx="1038225" cy="276225"/>
        </a:xfrm>
        <a:prstGeom prst="rect">
          <a:avLst/>
        </a:prstGeom>
        <a:solidFill>
          <a:srgbClr val="FFFFFF"/>
        </a:solidFill>
        <a:ln w="1" cmpd="sng">
          <a:noFill/>
        </a:ln>
      </xdr:spPr>
    </xdr:pic>
    <xdr:clientData/>
  </xdr:twoCellAnchor>
  <xdr:twoCellAnchor editAs="oneCell">
    <xdr:from>
      <xdr:col>45</xdr:col>
      <xdr:colOff>1133475</xdr:colOff>
      <xdr:row>261</xdr:row>
      <xdr:rowOff>38100</xdr:rowOff>
    </xdr:from>
    <xdr:to>
      <xdr:col>45</xdr:col>
      <xdr:colOff>1695450</xdr:colOff>
      <xdr:row>262</xdr:row>
      <xdr:rowOff>104775</xdr:rowOff>
    </xdr:to>
    <xdr:pic>
      <xdr:nvPicPr>
        <xdr:cNvPr id="75" name="CommandButton_表7_非表示"/>
        <xdr:cNvPicPr preferRelativeResize="1">
          <a:picLocks noChangeAspect="1"/>
        </xdr:cNvPicPr>
      </xdr:nvPicPr>
      <xdr:blipFill>
        <a:blip r:embed="rId14"/>
        <a:stretch>
          <a:fillRect/>
        </a:stretch>
      </xdr:blipFill>
      <xdr:spPr>
        <a:xfrm>
          <a:off x="10467975" y="57692925"/>
          <a:ext cx="561975" cy="276225"/>
        </a:xfrm>
        <a:prstGeom prst="rect">
          <a:avLst/>
        </a:prstGeom>
        <a:solidFill>
          <a:srgbClr val="FFFFFF"/>
        </a:solidFill>
        <a:ln w="1" cmpd="sng">
          <a:noFill/>
        </a:ln>
      </xdr:spPr>
    </xdr:pic>
    <xdr:clientData/>
  </xdr:twoCellAnchor>
  <xdr:twoCellAnchor editAs="oneCell">
    <xdr:from>
      <xdr:col>45</xdr:col>
      <xdr:colOff>47625</xdr:colOff>
      <xdr:row>278</xdr:row>
      <xdr:rowOff>38100</xdr:rowOff>
    </xdr:from>
    <xdr:to>
      <xdr:col>45</xdr:col>
      <xdr:colOff>1085850</xdr:colOff>
      <xdr:row>279</xdr:row>
      <xdr:rowOff>104775</xdr:rowOff>
    </xdr:to>
    <xdr:pic>
      <xdr:nvPicPr>
        <xdr:cNvPr id="76" name="CommandButton_表8_表示"/>
        <xdr:cNvPicPr preferRelativeResize="1">
          <a:picLocks noChangeAspect="1"/>
        </xdr:cNvPicPr>
      </xdr:nvPicPr>
      <xdr:blipFill>
        <a:blip r:embed="rId15"/>
        <a:stretch>
          <a:fillRect/>
        </a:stretch>
      </xdr:blipFill>
      <xdr:spPr>
        <a:xfrm>
          <a:off x="9382125" y="61207650"/>
          <a:ext cx="1038225" cy="276225"/>
        </a:xfrm>
        <a:prstGeom prst="rect">
          <a:avLst/>
        </a:prstGeom>
        <a:solidFill>
          <a:srgbClr val="FFFFFF"/>
        </a:solidFill>
        <a:ln w="1" cmpd="sng">
          <a:noFill/>
        </a:ln>
      </xdr:spPr>
    </xdr:pic>
    <xdr:clientData/>
  </xdr:twoCellAnchor>
  <xdr:twoCellAnchor editAs="oneCell">
    <xdr:from>
      <xdr:col>45</xdr:col>
      <xdr:colOff>1133475</xdr:colOff>
      <xdr:row>278</xdr:row>
      <xdr:rowOff>38100</xdr:rowOff>
    </xdr:from>
    <xdr:to>
      <xdr:col>45</xdr:col>
      <xdr:colOff>1695450</xdr:colOff>
      <xdr:row>279</xdr:row>
      <xdr:rowOff>104775</xdr:rowOff>
    </xdr:to>
    <xdr:pic>
      <xdr:nvPicPr>
        <xdr:cNvPr id="77" name="CommandButton_表8_非表示"/>
        <xdr:cNvPicPr preferRelativeResize="1">
          <a:picLocks noChangeAspect="1"/>
        </xdr:cNvPicPr>
      </xdr:nvPicPr>
      <xdr:blipFill>
        <a:blip r:embed="rId16"/>
        <a:stretch>
          <a:fillRect/>
        </a:stretch>
      </xdr:blipFill>
      <xdr:spPr>
        <a:xfrm>
          <a:off x="10467975" y="61207650"/>
          <a:ext cx="561975" cy="276225"/>
        </a:xfrm>
        <a:prstGeom prst="rect">
          <a:avLst/>
        </a:prstGeom>
        <a:solidFill>
          <a:srgbClr val="FFFFFF"/>
        </a:solidFill>
        <a:ln w="1" cmpd="sng">
          <a:noFill/>
        </a:ln>
      </xdr:spPr>
    </xdr:pic>
    <xdr:clientData/>
  </xdr:twoCellAnchor>
  <xdr:twoCellAnchor editAs="oneCell">
    <xdr:from>
      <xdr:col>45</xdr:col>
      <xdr:colOff>47625</xdr:colOff>
      <xdr:row>302</xdr:row>
      <xdr:rowOff>38100</xdr:rowOff>
    </xdr:from>
    <xdr:to>
      <xdr:col>45</xdr:col>
      <xdr:colOff>1085850</xdr:colOff>
      <xdr:row>303</xdr:row>
      <xdr:rowOff>104775</xdr:rowOff>
    </xdr:to>
    <xdr:pic>
      <xdr:nvPicPr>
        <xdr:cNvPr id="78" name="CommandButton_表9_表示"/>
        <xdr:cNvPicPr preferRelativeResize="1">
          <a:picLocks noChangeAspect="1"/>
        </xdr:cNvPicPr>
      </xdr:nvPicPr>
      <xdr:blipFill>
        <a:blip r:embed="rId17"/>
        <a:stretch>
          <a:fillRect/>
        </a:stretch>
      </xdr:blipFill>
      <xdr:spPr>
        <a:xfrm>
          <a:off x="9382125" y="66008250"/>
          <a:ext cx="1038225" cy="276225"/>
        </a:xfrm>
        <a:prstGeom prst="rect">
          <a:avLst/>
        </a:prstGeom>
        <a:solidFill>
          <a:srgbClr val="FFFFFF"/>
        </a:solidFill>
        <a:ln w="1" cmpd="sng">
          <a:noFill/>
        </a:ln>
      </xdr:spPr>
    </xdr:pic>
    <xdr:clientData/>
  </xdr:twoCellAnchor>
  <xdr:twoCellAnchor editAs="oneCell">
    <xdr:from>
      <xdr:col>45</xdr:col>
      <xdr:colOff>1133475</xdr:colOff>
      <xdr:row>302</xdr:row>
      <xdr:rowOff>38100</xdr:rowOff>
    </xdr:from>
    <xdr:to>
      <xdr:col>45</xdr:col>
      <xdr:colOff>1695450</xdr:colOff>
      <xdr:row>303</xdr:row>
      <xdr:rowOff>104775</xdr:rowOff>
    </xdr:to>
    <xdr:pic>
      <xdr:nvPicPr>
        <xdr:cNvPr id="79" name="CommandButton_表9_非表示"/>
        <xdr:cNvPicPr preferRelativeResize="1">
          <a:picLocks noChangeAspect="1"/>
        </xdr:cNvPicPr>
      </xdr:nvPicPr>
      <xdr:blipFill>
        <a:blip r:embed="rId18"/>
        <a:stretch>
          <a:fillRect/>
        </a:stretch>
      </xdr:blipFill>
      <xdr:spPr>
        <a:xfrm>
          <a:off x="10467975" y="66008250"/>
          <a:ext cx="561975" cy="276225"/>
        </a:xfrm>
        <a:prstGeom prst="rect">
          <a:avLst/>
        </a:prstGeom>
        <a:solidFill>
          <a:srgbClr val="FFFFFF"/>
        </a:solidFill>
        <a:ln w="1" cmpd="sng">
          <a:noFill/>
        </a:ln>
      </xdr:spPr>
    </xdr:pic>
    <xdr:clientData/>
  </xdr:twoCellAnchor>
  <xdr:twoCellAnchor editAs="oneCell">
    <xdr:from>
      <xdr:col>45</xdr:col>
      <xdr:colOff>47625</xdr:colOff>
      <xdr:row>320</xdr:row>
      <xdr:rowOff>38100</xdr:rowOff>
    </xdr:from>
    <xdr:to>
      <xdr:col>45</xdr:col>
      <xdr:colOff>1085850</xdr:colOff>
      <xdr:row>321</xdr:row>
      <xdr:rowOff>104775</xdr:rowOff>
    </xdr:to>
    <xdr:pic>
      <xdr:nvPicPr>
        <xdr:cNvPr id="80" name="CommandButton_表10_表示"/>
        <xdr:cNvPicPr preferRelativeResize="1">
          <a:picLocks noChangeAspect="1"/>
        </xdr:cNvPicPr>
      </xdr:nvPicPr>
      <xdr:blipFill>
        <a:blip r:embed="rId19"/>
        <a:stretch>
          <a:fillRect/>
        </a:stretch>
      </xdr:blipFill>
      <xdr:spPr>
        <a:xfrm>
          <a:off x="9382125" y="69665850"/>
          <a:ext cx="1038225" cy="276225"/>
        </a:xfrm>
        <a:prstGeom prst="rect">
          <a:avLst/>
        </a:prstGeom>
        <a:solidFill>
          <a:srgbClr val="FFFFFF"/>
        </a:solidFill>
        <a:ln w="1" cmpd="sng">
          <a:noFill/>
        </a:ln>
      </xdr:spPr>
    </xdr:pic>
    <xdr:clientData/>
  </xdr:twoCellAnchor>
  <xdr:twoCellAnchor editAs="oneCell">
    <xdr:from>
      <xdr:col>45</xdr:col>
      <xdr:colOff>1133475</xdr:colOff>
      <xdr:row>320</xdr:row>
      <xdr:rowOff>38100</xdr:rowOff>
    </xdr:from>
    <xdr:to>
      <xdr:col>45</xdr:col>
      <xdr:colOff>1695450</xdr:colOff>
      <xdr:row>321</xdr:row>
      <xdr:rowOff>104775</xdr:rowOff>
    </xdr:to>
    <xdr:pic>
      <xdr:nvPicPr>
        <xdr:cNvPr id="81" name="CommandButton_表10_非表示"/>
        <xdr:cNvPicPr preferRelativeResize="1">
          <a:picLocks noChangeAspect="1"/>
        </xdr:cNvPicPr>
      </xdr:nvPicPr>
      <xdr:blipFill>
        <a:blip r:embed="rId20"/>
        <a:stretch>
          <a:fillRect/>
        </a:stretch>
      </xdr:blipFill>
      <xdr:spPr>
        <a:xfrm>
          <a:off x="10467975" y="69665850"/>
          <a:ext cx="561975" cy="276225"/>
        </a:xfrm>
        <a:prstGeom prst="rect">
          <a:avLst/>
        </a:prstGeom>
        <a:solidFill>
          <a:srgbClr val="FFFFFF"/>
        </a:solidFill>
        <a:ln w="1" cmpd="sng">
          <a:noFill/>
        </a:ln>
      </xdr:spPr>
    </xdr:pic>
    <xdr:clientData/>
  </xdr:twoCellAnchor>
  <xdr:twoCellAnchor editAs="oneCell">
    <xdr:from>
      <xdr:col>45</xdr:col>
      <xdr:colOff>47625</xdr:colOff>
      <xdr:row>341</xdr:row>
      <xdr:rowOff>38100</xdr:rowOff>
    </xdr:from>
    <xdr:to>
      <xdr:col>45</xdr:col>
      <xdr:colOff>1085850</xdr:colOff>
      <xdr:row>342</xdr:row>
      <xdr:rowOff>104775</xdr:rowOff>
    </xdr:to>
    <xdr:pic>
      <xdr:nvPicPr>
        <xdr:cNvPr id="82" name="CommandButton_表11_表示"/>
        <xdr:cNvPicPr preferRelativeResize="1">
          <a:picLocks noChangeAspect="1"/>
        </xdr:cNvPicPr>
      </xdr:nvPicPr>
      <xdr:blipFill>
        <a:blip r:embed="rId21"/>
        <a:stretch>
          <a:fillRect/>
        </a:stretch>
      </xdr:blipFill>
      <xdr:spPr>
        <a:xfrm>
          <a:off x="9382125" y="73837800"/>
          <a:ext cx="1038225" cy="276225"/>
        </a:xfrm>
        <a:prstGeom prst="rect">
          <a:avLst/>
        </a:prstGeom>
        <a:solidFill>
          <a:srgbClr val="FFFFFF"/>
        </a:solidFill>
        <a:ln w="1" cmpd="sng">
          <a:noFill/>
        </a:ln>
      </xdr:spPr>
    </xdr:pic>
    <xdr:clientData/>
  </xdr:twoCellAnchor>
  <xdr:twoCellAnchor editAs="oneCell">
    <xdr:from>
      <xdr:col>45</xdr:col>
      <xdr:colOff>1133475</xdr:colOff>
      <xdr:row>341</xdr:row>
      <xdr:rowOff>38100</xdr:rowOff>
    </xdr:from>
    <xdr:to>
      <xdr:col>45</xdr:col>
      <xdr:colOff>1695450</xdr:colOff>
      <xdr:row>342</xdr:row>
      <xdr:rowOff>104775</xdr:rowOff>
    </xdr:to>
    <xdr:pic>
      <xdr:nvPicPr>
        <xdr:cNvPr id="83" name="CommandButton_表11_非表示"/>
        <xdr:cNvPicPr preferRelativeResize="1">
          <a:picLocks noChangeAspect="1"/>
        </xdr:cNvPicPr>
      </xdr:nvPicPr>
      <xdr:blipFill>
        <a:blip r:embed="rId22"/>
        <a:stretch>
          <a:fillRect/>
        </a:stretch>
      </xdr:blipFill>
      <xdr:spPr>
        <a:xfrm>
          <a:off x="10467975" y="73837800"/>
          <a:ext cx="561975" cy="276225"/>
        </a:xfrm>
        <a:prstGeom prst="rect">
          <a:avLst/>
        </a:prstGeom>
        <a:solidFill>
          <a:srgbClr val="FFFFFF"/>
        </a:solidFill>
        <a:ln w="1" cmpd="sng">
          <a:noFill/>
        </a:ln>
      </xdr:spPr>
    </xdr:pic>
    <xdr:clientData/>
  </xdr:twoCellAnchor>
  <xdr:twoCellAnchor editAs="oneCell">
    <xdr:from>
      <xdr:col>45</xdr:col>
      <xdr:colOff>47625</xdr:colOff>
      <xdr:row>359</xdr:row>
      <xdr:rowOff>85725</xdr:rowOff>
    </xdr:from>
    <xdr:to>
      <xdr:col>45</xdr:col>
      <xdr:colOff>1085850</xdr:colOff>
      <xdr:row>361</xdr:row>
      <xdr:rowOff>57150</xdr:rowOff>
    </xdr:to>
    <xdr:pic>
      <xdr:nvPicPr>
        <xdr:cNvPr id="84" name="CommandButton_表12_表示"/>
        <xdr:cNvPicPr preferRelativeResize="1">
          <a:picLocks noChangeAspect="1"/>
        </xdr:cNvPicPr>
      </xdr:nvPicPr>
      <xdr:blipFill>
        <a:blip r:embed="rId23"/>
        <a:stretch>
          <a:fillRect/>
        </a:stretch>
      </xdr:blipFill>
      <xdr:spPr>
        <a:xfrm>
          <a:off x="9382125" y="77657325"/>
          <a:ext cx="1038225" cy="276225"/>
        </a:xfrm>
        <a:prstGeom prst="rect">
          <a:avLst/>
        </a:prstGeom>
        <a:solidFill>
          <a:srgbClr val="FFFFFF"/>
        </a:solidFill>
        <a:ln w="1" cmpd="sng">
          <a:noFill/>
        </a:ln>
      </xdr:spPr>
    </xdr:pic>
    <xdr:clientData/>
  </xdr:twoCellAnchor>
  <xdr:twoCellAnchor editAs="oneCell">
    <xdr:from>
      <xdr:col>45</xdr:col>
      <xdr:colOff>1133475</xdr:colOff>
      <xdr:row>359</xdr:row>
      <xdr:rowOff>85725</xdr:rowOff>
    </xdr:from>
    <xdr:to>
      <xdr:col>45</xdr:col>
      <xdr:colOff>1695450</xdr:colOff>
      <xdr:row>361</xdr:row>
      <xdr:rowOff>57150</xdr:rowOff>
    </xdr:to>
    <xdr:pic>
      <xdr:nvPicPr>
        <xdr:cNvPr id="85" name="CommandButton_表12_非表示"/>
        <xdr:cNvPicPr preferRelativeResize="1">
          <a:picLocks noChangeAspect="1"/>
        </xdr:cNvPicPr>
      </xdr:nvPicPr>
      <xdr:blipFill>
        <a:blip r:embed="rId24"/>
        <a:stretch>
          <a:fillRect/>
        </a:stretch>
      </xdr:blipFill>
      <xdr:spPr>
        <a:xfrm>
          <a:off x="10467975" y="77657325"/>
          <a:ext cx="561975" cy="276225"/>
        </a:xfrm>
        <a:prstGeom prst="rect">
          <a:avLst/>
        </a:prstGeom>
        <a:solidFill>
          <a:srgbClr val="FFFFFF"/>
        </a:solidFill>
        <a:ln w="1" cmpd="sng">
          <a:noFill/>
        </a:ln>
      </xdr:spPr>
    </xdr:pic>
    <xdr:clientData/>
  </xdr:twoCellAnchor>
  <xdr:twoCellAnchor>
    <xdr:from>
      <xdr:col>45</xdr:col>
      <xdr:colOff>295275</xdr:colOff>
      <xdr:row>5</xdr:row>
      <xdr:rowOff>142875</xdr:rowOff>
    </xdr:from>
    <xdr:to>
      <xdr:col>119</xdr:col>
      <xdr:colOff>95250</xdr:colOff>
      <xdr:row>14</xdr:row>
      <xdr:rowOff>171450</xdr:rowOff>
    </xdr:to>
    <xdr:sp>
      <xdr:nvSpPr>
        <xdr:cNvPr id="86" name="線吹き出し 2 (枠付き) 23"/>
        <xdr:cNvSpPr>
          <a:spLocks/>
        </xdr:cNvSpPr>
      </xdr:nvSpPr>
      <xdr:spPr>
        <a:xfrm>
          <a:off x="9629775" y="1200150"/>
          <a:ext cx="3057525" cy="1914525"/>
        </a:xfrm>
        <a:prstGeom prst="borderCallout2">
          <a:avLst>
            <a:gd name="adj1" fmla="val -66875"/>
            <a:gd name="adj2" fmla="val -13925"/>
            <a:gd name="adj3" fmla="val -61439"/>
            <a:gd name="adj4" fmla="val -14856"/>
            <a:gd name="adj5" fmla="val -50634"/>
            <a:gd name="adj6" fmla="val -1443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50" b="0" i="0" u="none" baseline="0">
              <a:solidFill>
                <a:srgbClr val="000000"/>
              </a:solidFill>
            </a:rPr>
            <a:t>◆シート保護の解除について</a:t>
          </a:r>
          <a:r>
            <a:rPr lang="en-US" cap="none" sz="1050" b="0" i="0" u="none" baseline="0">
              <a:solidFill>
                <a:srgbClr val="000000"/>
              </a:solidFill>
            </a:rPr>
            <a:t>
</a:t>
          </a:r>
          <a:r>
            <a:rPr lang="en-US" cap="none" sz="1050" b="0" i="0" u="none" baseline="0">
              <a:solidFill>
                <a:srgbClr val="000000"/>
              </a:solidFill>
            </a:rPr>
            <a:t>　シート保護を解除する場合パスワードは</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00000000</a:t>
          </a:r>
          <a:r>
            <a:rPr lang="en-US" cap="none" sz="1050" b="0" i="0" u="none" baseline="0">
              <a:solidFill>
                <a:srgbClr val="000000"/>
              </a:solidFill>
            </a:rPr>
            <a:t>」です。</a:t>
          </a:r>
          <a:r>
            <a:rPr lang="en-US" cap="none" sz="1050" b="0" i="0" u="none" baseline="0">
              <a:solidFill>
                <a:srgbClr val="000000"/>
              </a:solidFill>
            </a:rPr>
            <a:t>
</a:t>
          </a:r>
          <a:r>
            <a:rPr lang="en-US" cap="none" sz="1050" b="0" i="0" u="none" baseline="0">
              <a:solidFill>
                <a:srgbClr val="000000"/>
              </a:solidFill>
            </a:rPr>
            <a:t>　保護を解除した場合、埋め込まれている</a:t>
          </a:r>
          <a:r>
            <a:rPr lang="en-US" cap="none" sz="1050" b="0" i="0" u="none" baseline="0">
              <a:solidFill>
                <a:srgbClr val="000000"/>
              </a:solidFill>
            </a:rPr>
            <a:t>
</a:t>
          </a:r>
          <a:r>
            <a:rPr lang="en-US" cap="none" sz="1050" b="0" i="0" u="none" baseline="0">
              <a:solidFill>
                <a:srgbClr val="000000"/>
              </a:solidFill>
            </a:rPr>
            <a:t>　関数を上書きした場合、予定している計算</a:t>
          </a:r>
          <a:r>
            <a:rPr lang="en-US" cap="none" sz="1050" b="0" i="0" u="none" baseline="0">
              <a:solidFill>
                <a:srgbClr val="000000"/>
              </a:solidFill>
            </a:rPr>
            <a:t>
</a:t>
          </a:r>
          <a:r>
            <a:rPr lang="en-US" cap="none" sz="1050" b="0" i="0" u="none" baseline="0">
              <a:solidFill>
                <a:srgbClr val="000000"/>
              </a:solidFill>
            </a:rPr>
            <a:t>　等が行われなくなることがあります。</a:t>
          </a:r>
          <a:r>
            <a:rPr lang="en-US" cap="none" sz="1000" b="0" i="0" u="none" baseline="0">
              <a:solidFill>
                <a:srgbClr val="000000"/>
              </a:solidFill>
            </a:rPr>
            <a:t>
</a:t>
          </a:r>
          <a:r>
            <a:rPr lang="en-US" cap="none" sz="1100" b="1" i="0" u="none" baseline="0">
              <a:solidFill>
                <a:srgbClr val="FF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埋込み関数をこわした場合</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埋込み関数を壊したり、上書きし動かなく</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なった場合、再度ファイルをダウンロード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し、入力し直してください。</a:t>
          </a:r>
        </a:p>
      </xdr:txBody>
    </xdr:sp>
    <xdr:clientData fPrintsWithSheet="0"/>
  </xdr:twoCellAnchor>
  <xdr:twoCellAnchor>
    <xdr:from>
      <xdr:col>45</xdr:col>
      <xdr:colOff>304800</xdr:colOff>
      <xdr:row>16</xdr:row>
      <xdr:rowOff>19050</xdr:rowOff>
    </xdr:from>
    <xdr:to>
      <xdr:col>119</xdr:col>
      <xdr:colOff>485775</xdr:colOff>
      <xdr:row>22</xdr:row>
      <xdr:rowOff>38100</xdr:rowOff>
    </xdr:to>
    <xdr:sp>
      <xdr:nvSpPr>
        <xdr:cNvPr id="87" name="線吹き出し 2 (枠付き) 56"/>
        <xdr:cNvSpPr>
          <a:spLocks/>
        </xdr:cNvSpPr>
      </xdr:nvSpPr>
      <xdr:spPr>
        <a:xfrm>
          <a:off x="9639300" y="3381375"/>
          <a:ext cx="3438525" cy="1276350"/>
        </a:xfrm>
        <a:prstGeom prst="borderCallout2">
          <a:avLst>
            <a:gd name="adj1" fmla="val -131560"/>
            <a:gd name="adj2" fmla="val 39550"/>
            <a:gd name="adj3" fmla="val -72921"/>
            <a:gd name="adj4" fmla="val -32999"/>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自動反映した行政庁名を変更する場合、登録番号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の行政庁名だけプルダウンから個別に選択し直し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てください。</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rPr>
            <a:t>※</a:t>
          </a:r>
          <a:r>
            <a:rPr lang="en-US" cap="none" sz="1100" b="0" i="0" u="sng" baseline="0">
              <a:solidFill>
                <a:srgbClr val="000000"/>
              </a:solidFill>
              <a:latin typeface="ＭＳ Ｐゴシック"/>
              <a:ea typeface="ＭＳ Ｐゴシック"/>
              <a:cs typeface="ＭＳ Ｐゴシック"/>
            </a:rPr>
            <a:t>この場合、自動反映機能はなくなります</a:t>
          </a:r>
          <a:r>
            <a:rPr lang="en-US" cap="none" sz="11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0</xdr:col>
      <xdr:colOff>28575</xdr:colOff>
      <xdr:row>280</xdr:row>
      <xdr:rowOff>47625</xdr:rowOff>
    </xdr:from>
    <xdr:to>
      <xdr:col>3</xdr:col>
      <xdr:colOff>581025</xdr:colOff>
      <xdr:row>286</xdr:row>
      <xdr:rowOff>28575</xdr:rowOff>
    </xdr:to>
    <xdr:sp>
      <xdr:nvSpPr>
        <xdr:cNvPr id="88" name="線吹き出し 2 (枠付き) 67"/>
        <xdr:cNvSpPr>
          <a:spLocks/>
        </xdr:cNvSpPr>
      </xdr:nvSpPr>
      <xdr:spPr>
        <a:xfrm>
          <a:off x="28575" y="61636275"/>
          <a:ext cx="2381250" cy="1238250"/>
        </a:xfrm>
        <a:prstGeom prst="borderCallout2">
          <a:avLst>
            <a:gd name="adj1" fmla="val 65916"/>
            <a:gd name="adj2" fmla="val -60939"/>
            <a:gd name="adj3" fmla="val 57722"/>
            <a:gd name="adj4" fmla="val -32115"/>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◆金額別ランクの振分方法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毎年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31</a:t>
          </a:r>
          <a:r>
            <a:rPr lang="en-US" cap="none" sz="1000" b="0" i="0" u="none" baseline="0">
              <a:solidFill>
                <a:srgbClr val="000000"/>
              </a:solidFill>
              <a:latin typeface="ＭＳ Ｐゴシック"/>
              <a:ea typeface="ＭＳ Ｐゴシック"/>
              <a:cs typeface="ＭＳ Ｐゴシック"/>
            </a:rPr>
            <a:t>日時点の貸付残高の金額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を金額別ランクに当てはめて計上して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a:t>
          </a:r>
        </a:p>
      </xdr:txBody>
    </xdr:sp>
    <xdr:clientData fPrintsWithSheet="0"/>
  </xdr:twoCellAnchor>
  <xdr:twoCellAnchor>
    <xdr:from>
      <xdr:col>0</xdr:col>
      <xdr:colOff>38100</xdr:colOff>
      <xdr:row>322</xdr:row>
      <xdr:rowOff>47625</xdr:rowOff>
    </xdr:from>
    <xdr:to>
      <xdr:col>3</xdr:col>
      <xdr:colOff>581025</xdr:colOff>
      <xdr:row>328</xdr:row>
      <xdr:rowOff>28575</xdr:rowOff>
    </xdr:to>
    <xdr:sp>
      <xdr:nvSpPr>
        <xdr:cNvPr id="89" name="線吹き出し 2 (枠付き) 67"/>
        <xdr:cNvSpPr>
          <a:spLocks/>
        </xdr:cNvSpPr>
      </xdr:nvSpPr>
      <xdr:spPr>
        <a:xfrm>
          <a:off x="38100" y="70094475"/>
          <a:ext cx="2371725" cy="1238250"/>
        </a:xfrm>
        <a:prstGeom prst="borderCallout2">
          <a:avLst>
            <a:gd name="adj1" fmla="val 65916"/>
            <a:gd name="adj2" fmla="val -60939"/>
            <a:gd name="adj3" fmla="val 57722"/>
            <a:gd name="adj4" fmla="val -32115"/>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◆金額別ランクの振分方法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毎年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31</a:t>
          </a:r>
          <a:r>
            <a:rPr lang="en-US" cap="none" sz="1000" b="0" i="0" u="none" baseline="0">
              <a:solidFill>
                <a:srgbClr val="000000"/>
              </a:solidFill>
              <a:latin typeface="ＭＳ Ｐゴシック"/>
              <a:ea typeface="ＭＳ Ｐゴシック"/>
              <a:cs typeface="ＭＳ Ｐゴシック"/>
            </a:rPr>
            <a:t>日時点の貸付残高の金額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を金額別ランクに当てはめて計上して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aw.e-gov.go.jp/htmldata/S38/S38F03401000059.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EK702"/>
  <sheetViews>
    <sheetView showGridLines="0" tabSelected="1" view="pageBreakPreview" zoomScale="115" zoomScaleNormal="115" zoomScaleSheetLayoutView="115" workbookViewId="0" topLeftCell="A1">
      <selection activeCell="J15" sqref="J15:P15"/>
    </sheetView>
  </sheetViews>
  <sheetFormatPr defaultColWidth="9.00390625" defaultRowHeight="16.5" customHeight="1"/>
  <cols>
    <col min="1" max="3" width="8.00390625" style="151" customWidth="1"/>
    <col min="4" max="4" width="8.25390625" style="151" customWidth="1"/>
    <col min="5" max="6" width="2.125" style="1" customWidth="1"/>
    <col min="7" max="43" width="2.25390625" style="1" customWidth="1"/>
    <col min="44" max="44" width="1.37890625" style="1" customWidth="1"/>
    <col min="45" max="45" width="1.37890625" style="30" customWidth="1"/>
    <col min="46" max="46" width="22.625" style="151" customWidth="1"/>
    <col min="47" max="47" width="24.75390625" style="151" hidden="1" customWidth="1"/>
    <col min="48" max="50" width="4.50390625" style="151" hidden="1" customWidth="1"/>
    <col min="51" max="51" width="3.50390625" style="151" hidden="1" customWidth="1"/>
    <col min="52" max="52" width="13.875" style="151" hidden="1" customWidth="1"/>
    <col min="53" max="53" width="18.375" style="151" hidden="1" customWidth="1"/>
    <col min="54" max="54" width="36.25390625" style="151" hidden="1" customWidth="1"/>
    <col min="55" max="55" width="40.75390625" style="151" hidden="1" customWidth="1"/>
    <col min="56" max="56" width="6.375" style="151" hidden="1" customWidth="1"/>
    <col min="57" max="57" width="23.75390625" style="151" hidden="1" customWidth="1"/>
    <col min="58" max="58" width="24.875" style="151" hidden="1" customWidth="1"/>
    <col min="59" max="59" width="27.875" style="151" hidden="1" customWidth="1"/>
    <col min="60" max="60" width="6.375" style="151" hidden="1" customWidth="1"/>
    <col min="61" max="61" width="36.375" style="151" hidden="1" customWidth="1"/>
    <col min="62" max="62" width="10.125" style="154" hidden="1" customWidth="1"/>
    <col min="63" max="63" width="38.00390625" style="153" hidden="1" customWidth="1"/>
    <col min="64" max="65" width="8.625" style="151" hidden="1" customWidth="1"/>
    <col min="66" max="66" width="11.25390625" style="151" hidden="1" customWidth="1"/>
    <col min="67" max="80" width="9.00390625" style="151" hidden="1" customWidth="1"/>
    <col min="81" max="81" width="5.25390625" style="151" hidden="1" customWidth="1"/>
    <col min="82" max="116" width="9.00390625" style="151" hidden="1" customWidth="1"/>
    <col min="117" max="117" width="2.125" style="30" customWidth="1"/>
    <col min="118" max="139" width="9.00390625" style="30" customWidth="1"/>
    <col min="140" max="142" width="0" style="30" hidden="1" customWidth="1"/>
    <col min="143" max="16384" width="9.00390625" style="30" customWidth="1"/>
  </cols>
  <sheetData>
    <row r="1" spans="5:141" ht="16.5" customHeight="1">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EK1" s="30" t="s">
        <v>276</v>
      </c>
    </row>
    <row r="2" spans="5:141" ht="16.5" customHeight="1">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4" t="s">
        <v>586</v>
      </c>
      <c r="AN2" s="4"/>
      <c r="AO2" s="148"/>
      <c r="AP2" s="148"/>
      <c r="AQ2" s="148"/>
      <c r="AR2" s="148"/>
      <c r="AZ2" s="153"/>
      <c r="BB2" s="154" t="s">
        <v>452</v>
      </c>
      <c r="EK2" s="30" t="s">
        <v>217</v>
      </c>
    </row>
    <row r="3" spans="5:141" ht="16.5" customHeight="1">
      <c r="E3" s="148"/>
      <c r="F3" s="148" t="s">
        <v>29</v>
      </c>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Z3" s="153" t="s">
        <v>217</v>
      </c>
      <c r="BB3" s="244" t="s">
        <v>505</v>
      </c>
      <c r="EK3" s="30" t="s">
        <v>218</v>
      </c>
    </row>
    <row r="4" spans="5:141" ht="16.5" customHeight="1">
      <c r="E4" s="204"/>
      <c r="F4" s="204"/>
      <c r="G4" s="30"/>
      <c r="H4" s="204"/>
      <c r="I4" s="10"/>
      <c r="J4" s="204"/>
      <c r="K4" s="204"/>
      <c r="L4" s="204"/>
      <c r="M4" s="204"/>
      <c r="N4" s="204"/>
      <c r="O4" s="11"/>
      <c r="P4" s="11"/>
      <c r="Q4" s="11"/>
      <c r="R4" s="11"/>
      <c r="S4" s="11"/>
      <c r="T4" s="11"/>
      <c r="U4" s="11"/>
      <c r="V4" s="11"/>
      <c r="W4" s="11"/>
      <c r="X4" s="11"/>
      <c r="Y4" s="11"/>
      <c r="Z4" s="11"/>
      <c r="AA4" s="204"/>
      <c r="AB4" s="204"/>
      <c r="AC4" s="204"/>
      <c r="AD4" s="204"/>
      <c r="AE4" s="204"/>
      <c r="AF4" s="204"/>
      <c r="AG4" s="204"/>
      <c r="AH4" s="204"/>
      <c r="AI4" s="204"/>
      <c r="AJ4" s="204"/>
      <c r="AK4" s="204"/>
      <c r="AL4" s="204"/>
      <c r="AM4" s="204"/>
      <c r="AN4" s="204"/>
      <c r="AO4" s="204"/>
      <c r="AP4" s="204"/>
      <c r="AQ4" s="204"/>
      <c r="AR4" s="204"/>
      <c r="AZ4" s="153" t="s">
        <v>218</v>
      </c>
      <c r="BB4" s="244" t="s">
        <v>506</v>
      </c>
      <c r="EK4" s="30" t="s">
        <v>216</v>
      </c>
    </row>
    <row r="5" spans="5:141" ht="17.25" customHeight="1">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Z5" s="153" t="s">
        <v>216</v>
      </c>
      <c r="BB5" s="244" t="s">
        <v>507</v>
      </c>
      <c r="EK5" s="30" t="s">
        <v>220</v>
      </c>
    </row>
    <row r="6" spans="5:141" ht="16.5" customHeight="1">
      <c r="E6" s="148"/>
      <c r="F6" s="148"/>
      <c r="G6" s="148"/>
      <c r="H6" s="645" t="s">
        <v>30</v>
      </c>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148"/>
      <c r="AR6" s="148"/>
      <c r="AZ6" s="153" t="s">
        <v>220</v>
      </c>
      <c r="BB6" s="244" t="s">
        <v>508</v>
      </c>
      <c r="EK6" s="30" t="s">
        <v>219</v>
      </c>
    </row>
    <row r="7" spans="5:141" ht="16.5" customHeight="1">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Z7" s="153" t="s">
        <v>219</v>
      </c>
      <c r="BB7" s="244" t="s">
        <v>509</v>
      </c>
      <c r="EK7" s="30" t="s">
        <v>221</v>
      </c>
    </row>
    <row r="8" spans="5:141" ht="16.5" customHeight="1">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Z8" s="153" t="s">
        <v>221</v>
      </c>
      <c r="BB8" s="244" t="s">
        <v>510</v>
      </c>
      <c r="EK8" s="30" t="s">
        <v>222</v>
      </c>
    </row>
    <row r="9" spans="5:141" ht="16.5" customHeight="1">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Z9" s="153" t="s">
        <v>222</v>
      </c>
      <c r="BB9" s="244" t="s">
        <v>511</v>
      </c>
      <c r="EK9" s="30" t="s">
        <v>223</v>
      </c>
    </row>
    <row r="10" spans="5:141" ht="16.5" customHeight="1">
      <c r="E10" s="148"/>
      <c r="F10" s="650" t="s">
        <v>578</v>
      </c>
      <c r="G10" s="650"/>
      <c r="H10" s="650"/>
      <c r="I10" s="650"/>
      <c r="J10" s="650"/>
      <c r="K10" s="650"/>
      <c r="L10" s="650"/>
      <c r="M10" s="148"/>
      <c r="N10" s="148" t="s">
        <v>31</v>
      </c>
      <c r="O10" s="148"/>
      <c r="P10" s="148"/>
      <c r="Q10" s="148"/>
      <c r="R10" s="148"/>
      <c r="S10" s="148"/>
      <c r="AE10" s="148"/>
      <c r="AF10" s="148"/>
      <c r="AG10" s="148"/>
      <c r="AH10" s="148"/>
      <c r="AI10" s="148"/>
      <c r="AJ10" s="148"/>
      <c r="AK10" s="148"/>
      <c r="AL10" s="148"/>
      <c r="AM10" s="148"/>
      <c r="AN10" s="148"/>
      <c r="AO10" s="148"/>
      <c r="AP10" s="148"/>
      <c r="AQ10" s="148"/>
      <c r="AR10" s="148"/>
      <c r="AZ10" s="153" t="s">
        <v>223</v>
      </c>
      <c r="BB10" s="244" t="s">
        <v>512</v>
      </c>
      <c r="EK10" s="30" t="s">
        <v>224</v>
      </c>
    </row>
    <row r="11" spans="5:141" ht="16.5" customHeight="1">
      <c r="E11" s="148"/>
      <c r="F11" s="30"/>
      <c r="G11" s="30"/>
      <c r="H11" s="30"/>
      <c r="I11" s="30"/>
      <c r="J11" s="30"/>
      <c r="K11" s="30"/>
      <c r="L11" s="30"/>
      <c r="M11" s="30"/>
      <c r="N11" s="30"/>
      <c r="P11" s="148"/>
      <c r="Q11" s="148"/>
      <c r="R11" s="148"/>
      <c r="S11" s="148"/>
      <c r="AE11" s="148"/>
      <c r="AF11" s="148"/>
      <c r="AG11" s="148"/>
      <c r="AH11" s="148"/>
      <c r="AI11" s="148"/>
      <c r="AJ11" s="148"/>
      <c r="AK11" s="148"/>
      <c r="AL11" s="148"/>
      <c r="AM11" s="148"/>
      <c r="AN11" s="148"/>
      <c r="AO11" s="148"/>
      <c r="AP11" s="148"/>
      <c r="AQ11" s="148"/>
      <c r="AR11" s="148"/>
      <c r="AZ11" s="153" t="s">
        <v>224</v>
      </c>
      <c r="BB11" s="244" t="s">
        <v>513</v>
      </c>
      <c r="EK11" s="30" t="s">
        <v>225</v>
      </c>
    </row>
    <row r="12" spans="5:141" ht="16.5" customHeight="1">
      <c r="E12" s="148"/>
      <c r="F12" s="148"/>
      <c r="G12" s="148"/>
      <c r="H12" s="148"/>
      <c r="I12" s="148"/>
      <c r="J12" s="148"/>
      <c r="K12" s="148"/>
      <c r="L12" s="148"/>
      <c r="M12" s="148"/>
      <c r="N12" s="148"/>
      <c r="O12" s="148"/>
      <c r="P12" s="148"/>
      <c r="Q12" s="148"/>
      <c r="R12" s="148"/>
      <c r="S12" s="148"/>
      <c r="AE12" s="148"/>
      <c r="AF12" s="148"/>
      <c r="AG12" s="148"/>
      <c r="AH12" s="148"/>
      <c r="AI12" s="148"/>
      <c r="AJ12" s="148"/>
      <c r="AK12" s="148"/>
      <c r="AL12" s="148"/>
      <c r="AM12" s="148"/>
      <c r="AN12" s="148"/>
      <c r="AO12" s="148"/>
      <c r="AP12" s="148"/>
      <c r="AQ12" s="148"/>
      <c r="AR12" s="148"/>
      <c r="AZ12" s="153" t="s">
        <v>225</v>
      </c>
      <c r="BB12" s="244" t="s">
        <v>440</v>
      </c>
      <c r="EK12" s="30" t="s">
        <v>226</v>
      </c>
    </row>
    <row r="13" spans="5:141" ht="16.5" customHeight="1">
      <c r="E13" s="148"/>
      <c r="F13" s="148"/>
      <c r="G13" s="148"/>
      <c r="H13" s="148"/>
      <c r="AR13" s="148"/>
      <c r="AZ13" s="153" t="s">
        <v>226</v>
      </c>
      <c r="BB13" s="244" t="s">
        <v>441</v>
      </c>
      <c r="EK13" s="30" t="s">
        <v>528</v>
      </c>
    </row>
    <row r="14" spans="9:141" ht="16.5" customHeight="1">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148"/>
      <c r="AZ14" s="153" t="s">
        <v>227</v>
      </c>
      <c r="BB14" s="244" t="s">
        <v>442</v>
      </c>
      <c r="EK14" s="30" t="s">
        <v>529</v>
      </c>
    </row>
    <row r="15" spans="9:141" ht="16.5" customHeight="1">
      <c r="I15" s="148"/>
      <c r="J15" s="446" t="s">
        <v>604</v>
      </c>
      <c r="K15" s="446"/>
      <c r="L15" s="446"/>
      <c r="M15" s="446"/>
      <c r="N15" s="446"/>
      <c r="O15" s="446"/>
      <c r="P15" s="446"/>
      <c r="Q15" s="148" t="s">
        <v>453</v>
      </c>
      <c r="R15" s="148"/>
      <c r="S15" s="446" t="s">
        <v>605</v>
      </c>
      <c r="T15" s="446"/>
      <c r="U15" s="446"/>
      <c r="V15" s="446"/>
      <c r="W15" s="446"/>
      <c r="X15" s="446"/>
      <c r="Y15" s="446"/>
      <c r="Z15" s="1" t="s">
        <v>454</v>
      </c>
      <c r="AE15" s="148"/>
      <c r="AF15" s="148"/>
      <c r="AG15" s="148"/>
      <c r="AH15" s="148"/>
      <c r="AI15" s="148"/>
      <c r="AJ15" s="148"/>
      <c r="AK15" s="148"/>
      <c r="AL15" s="148"/>
      <c r="AM15" s="148"/>
      <c r="AN15" s="148"/>
      <c r="AO15" s="148"/>
      <c r="AP15" s="148"/>
      <c r="AQ15" s="148"/>
      <c r="AR15" s="148"/>
      <c r="AZ15" s="153" t="s">
        <v>228</v>
      </c>
      <c r="BB15" s="244" t="s">
        <v>443</v>
      </c>
      <c r="EK15" s="30" t="s">
        <v>530</v>
      </c>
    </row>
    <row r="16" spans="5:141" ht="16.5" customHeight="1">
      <c r="E16" s="148"/>
      <c r="F16" s="148"/>
      <c r="G16" s="148"/>
      <c r="H16" s="148"/>
      <c r="I16" s="148"/>
      <c r="J16" s="148"/>
      <c r="K16" s="148"/>
      <c r="L16" s="148"/>
      <c r="M16" s="148"/>
      <c r="N16" s="148"/>
      <c r="O16" s="148"/>
      <c r="P16" s="148"/>
      <c r="Q16" s="148"/>
      <c r="R16" s="148"/>
      <c r="S16" s="148"/>
      <c r="T16" s="148" t="s">
        <v>316</v>
      </c>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Z16" s="153" t="s">
        <v>229</v>
      </c>
      <c r="BB16" s="244" t="s">
        <v>444</v>
      </c>
      <c r="EK16" s="30" t="s">
        <v>531</v>
      </c>
    </row>
    <row r="17" spans="5:141" ht="16.5" customHeight="1">
      <c r="E17" s="148"/>
      <c r="F17" s="148"/>
      <c r="G17" s="148"/>
      <c r="H17" s="148"/>
      <c r="I17" s="148"/>
      <c r="J17" s="148"/>
      <c r="K17" s="148"/>
      <c r="L17" s="148"/>
      <c r="M17" s="148"/>
      <c r="N17" s="148"/>
      <c r="O17" s="148"/>
      <c r="P17" s="148"/>
      <c r="Q17" s="148"/>
      <c r="R17" s="148"/>
      <c r="S17" s="148"/>
      <c r="T17" s="438" t="s">
        <v>584</v>
      </c>
      <c r="U17" s="438"/>
      <c r="V17" s="438"/>
      <c r="W17" s="438"/>
      <c r="X17" s="438"/>
      <c r="Y17" s="438"/>
      <c r="Z17" s="438"/>
      <c r="AA17" s="438"/>
      <c r="AB17" s="438"/>
      <c r="AC17" s="438"/>
      <c r="AD17" s="438"/>
      <c r="AE17" s="148"/>
      <c r="AF17" s="148"/>
      <c r="AG17" s="148"/>
      <c r="AH17" s="148"/>
      <c r="AI17" s="148"/>
      <c r="AJ17" s="148"/>
      <c r="AK17" s="148"/>
      <c r="AL17" s="148"/>
      <c r="AM17" s="148"/>
      <c r="AN17" s="148"/>
      <c r="AO17" s="148"/>
      <c r="AP17" s="148"/>
      <c r="AQ17" s="148"/>
      <c r="AR17" s="148"/>
      <c r="AZ17" s="153" t="s">
        <v>230</v>
      </c>
      <c r="BB17" s="244" t="s">
        <v>445</v>
      </c>
      <c r="EK17" s="30" t="s">
        <v>532</v>
      </c>
    </row>
    <row r="18" spans="5:141" ht="16.5" customHeight="1">
      <c r="E18" s="148"/>
      <c r="F18" s="148"/>
      <c r="G18" s="148"/>
      <c r="H18" s="148"/>
      <c r="I18" s="148"/>
      <c r="J18" s="148"/>
      <c r="K18" s="148"/>
      <c r="L18" s="148"/>
      <c r="M18" s="148"/>
      <c r="N18" s="148"/>
      <c r="O18" s="148"/>
      <c r="P18" s="148"/>
      <c r="Q18" s="148"/>
      <c r="R18" s="148"/>
      <c r="S18" s="148"/>
      <c r="T18" s="438" t="s">
        <v>585</v>
      </c>
      <c r="U18" s="438"/>
      <c r="V18" s="438"/>
      <c r="W18" s="438"/>
      <c r="X18" s="438"/>
      <c r="Y18" s="438"/>
      <c r="Z18" s="438"/>
      <c r="AA18" s="438"/>
      <c r="AB18" s="438"/>
      <c r="AC18" s="438"/>
      <c r="AD18" s="438"/>
      <c r="AE18" s="148"/>
      <c r="AF18" s="148"/>
      <c r="AG18" s="148"/>
      <c r="AH18" s="148"/>
      <c r="AI18" s="148"/>
      <c r="AJ18" s="148"/>
      <c r="AK18" s="148"/>
      <c r="AL18" s="148"/>
      <c r="AM18" s="148"/>
      <c r="AN18" s="148"/>
      <c r="AO18" s="148"/>
      <c r="AP18" s="148"/>
      <c r="AQ18" s="148"/>
      <c r="AR18" s="148"/>
      <c r="AZ18" s="153" t="s">
        <v>231</v>
      </c>
      <c r="BB18" s="243" t="s">
        <v>514</v>
      </c>
      <c r="EK18" s="30" t="s">
        <v>533</v>
      </c>
    </row>
    <row r="19" spans="5:141" ht="16.5" customHeight="1">
      <c r="E19" s="148"/>
      <c r="G19" s="148"/>
      <c r="H19" s="148"/>
      <c r="I19" s="148"/>
      <c r="J19" s="148"/>
      <c r="K19" s="148"/>
      <c r="L19" s="148"/>
      <c r="M19" s="148"/>
      <c r="N19" s="148"/>
      <c r="O19" s="148"/>
      <c r="P19" s="148"/>
      <c r="Q19" s="148"/>
      <c r="R19" s="148"/>
      <c r="S19" s="148"/>
      <c r="AE19" s="148"/>
      <c r="AF19" s="148"/>
      <c r="AG19" s="148"/>
      <c r="AH19" s="148"/>
      <c r="AI19" s="148"/>
      <c r="AJ19" s="148"/>
      <c r="AK19" s="148"/>
      <c r="AL19" s="148"/>
      <c r="AM19" s="148"/>
      <c r="AN19" s="148"/>
      <c r="AO19" s="148"/>
      <c r="AP19" s="148"/>
      <c r="AZ19" s="153" t="s">
        <v>232</v>
      </c>
      <c r="BB19" s="243" t="s">
        <v>515</v>
      </c>
      <c r="EK19" s="30" t="s">
        <v>534</v>
      </c>
    </row>
    <row r="20" spans="5:141" ht="16.5" customHeight="1">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Z20" s="153" t="s">
        <v>233</v>
      </c>
      <c r="BB20" s="243" t="s">
        <v>516</v>
      </c>
      <c r="EK20" s="30" t="s">
        <v>535</v>
      </c>
    </row>
    <row r="21" spans="5:141" ht="16.5" customHeight="1">
      <c r="E21" s="148"/>
      <c r="F21" s="148"/>
      <c r="G21" s="148"/>
      <c r="H21" s="148"/>
      <c r="I21" s="148"/>
      <c r="J21" s="148"/>
      <c r="K21" s="148"/>
      <c r="L21" s="148"/>
      <c r="M21" s="148"/>
      <c r="N21" s="148"/>
      <c r="O21" s="148"/>
      <c r="P21" s="148"/>
      <c r="Q21" s="148"/>
      <c r="R21" s="148"/>
      <c r="S21" s="148"/>
      <c r="T21" s="148"/>
      <c r="U21" s="148" t="s">
        <v>32</v>
      </c>
      <c r="V21" s="148"/>
      <c r="W21" s="148"/>
      <c r="X21" s="148" t="s">
        <v>33</v>
      </c>
      <c r="Y21" s="148"/>
      <c r="Z21" s="148"/>
      <c r="AA21" s="148"/>
      <c r="AB21" s="148"/>
      <c r="AC21" s="148"/>
      <c r="AD21" s="148"/>
      <c r="AE21" s="148"/>
      <c r="AF21" s="148"/>
      <c r="AG21" s="148"/>
      <c r="AH21" s="148"/>
      <c r="AI21" s="148"/>
      <c r="AJ21" s="148"/>
      <c r="AK21" s="148"/>
      <c r="AL21" s="148"/>
      <c r="AM21" s="148"/>
      <c r="AN21" s="148"/>
      <c r="AO21" s="148"/>
      <c r="AP21" s="148"/>
      <c r="AQ21" s="148"/>
      <c r="AR21" s="148"/>
      <c r="AZ21" s="153" t="s">
        <v>234</v>
      </c>
      <c r="BB21" s="243" t="s">
        <v>517</v>
      </c>
      <c r="EK21" s="30" t="s">
        <v>536</v>
      </c>
    </row>
    <row r="22" spans="5:141" ht="16.5" customHeight="1">
      <c r="E22" s="148"/>
      <c r="F22" s="148"/>
      <c r="G22" s="148"/>
      <c r="H22" s="148"/>
      <c r="I22" s="148"/>
      <c r="J22" s="148"/>
      <c r="K22" s="148"/>
      <c r="L22" s="148"/>
      <c r="M22" s="148"/>
      <c r="N22" s="148"/>
      <c r="O22" s="148"/>
      <c r="P22" s="148"/>
      <c r="Q22" s="148"/>
      <c r="R22" s="148"/>
      <c r="S22" s="148"/>
      <c r="T22" s="148"/>
      <c r="U22" s="148"/>
      <c r="V22" s="148"/>
      <c r="W22" s="148"/>
      <c r="Y22" s="436" t="str">
        <f>F10</f>
        <v>鹿児島県知事</v>
      </c>
      <c r="Z22" s="437"/>
      <c r="AA22" s="437"/>
      <c r="AB22" s="437"/>
      <c r="AC22" s="437"/>
      <c r="AD22" s="437"/>
      <c r="AE22" s="437"/>
      <c r="AF22" s="449" t="s">
        <v>524</v>
      </c>
      <c r="AG22" s="449"/>
      <c r="AH22" s="449"/>
      <c r="AI22" s="270"/>
      <c r="AJ22" s="269" t="s">
        <v>502</v>
      </c>
      <c r="AK22" s="449"/>
      <c r="AL22" s="449"/>
      <c r="AM22" s="449"/>
      <c r="AN22" s="449"/>
      <c r="AO22" s="269" t="s">
        <v>503</v>
      </c>
      <c r="AP22" s="148"/>
      <c r="AQ22" s="148"/>
      <c r="AR22" s="148"/>
      <c r="AZ22" s="153" t="s">
        <v>235</v>
      </c>
      <c r="BB22" s="243" t="s">
        <v>518</v>
      </c>
      <c r="EK22" s="30" t="s">
        <v>537</v>
      </c>
    </row>
    <row r="23" spans="5:141" ht="16.5" customHeight="1">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Z23" s="153" t="s">
        <v>236</v>
      </c>
      <c r="BB23" s="243" t="s">
        <v>519</v>
      </c>
      <c r="EK23" s="30" t="s">
        <v>538</v>
      </c>
    </row>
    <row r="24" spans="5:141" ht="16.5" customHeight="1">
      <c r="E24" s="148"/>
      <c r="F24" s="148"/>
      <c r="G24" s="148"/>
      <c r="H24" s="148"/>
      <c r="I24" s="148"/>
      <c r="J24" s="148"/>
      <c r="K24" s="148"/>
      <c r="L24" s="148"/>
      <c r="M24" s="148"/>
      <c r="N24" s="148"/>
      <c r="O24" s="148"/>
      <c r="P24" s="148"/>
      <c r="Q24" s="148"/>
      <c r="R24" s="148"/>
      <c r="S24" s="148"/>
      <c r="T24" s="148"/>
      <c r="U24" s="148"/>
      <c r="V24" s="148"/>
      <c r="W24" s="148"/>
      <c r="X24" s="148" t="s">
        <v>273</v>
      </c>
      <c r="Y24" s="148"/>
      <c r="Z24" s="148"/>
      <c r="AA24" s="148"/>
      <c r="AB24" s="488"/>
      <c r="AC24" s="488"/>
      <c r="AD24" s="488"/>
      <c r="AE24" s="488"/>
      <c r="AF24" s="148" t="s">
        <v>274</v>
      </c>
      <c r="AG24" s="148"/>
      <c r="AH24" s="148"/>
      <c r="AI24" s="148"/>
      <c r="AJ24" s="148"/>
      <c r="AK24" s="148"/>
      <c r="AL24" s="148"/>
      <c r="AM24" s="148"/>
      <c r="AN24" s="148"/>
      <c r="AO24" s="148"/>
      <c r="AP24" s="148"/>
      <c r="AQ24" s="148"/>
      <c r="AR24" s="148"/>
      <c r="AZ24" s="153" t="s">
        <v>237</v>
      </c>
      <c r="BB24" s="243" t="s">
        <v>520</v>
      </c>
      <c r="EK24" s="30" t="s">
        <v>539</v>
      </c>
    </row>
    <row r="25" spans="5:141" ht="16.5" customHeight="1">
      <c r="E25" s="148"/>
      <c r="F25" s="148"/>
      <c r="G25" s="148"/>
      <c r="H25" s="148"/>
      <c r="I25" s="148"/>
      <c r="J25" s="148"/>
      <c r="K25" s="148"/>
      <c r="L25" s="148"/>
      <c r="M25" s="148"/>
      <c r="N25" s="148"/>
      <c r="O25" s="148"/>
      <c r="P25" s="148"/>
      <c r="Q25" s="148"/>
      <c r="R25" s="148"/>
      <c r="S25" s="148"/>
      <c r="T25" s="148"/>
      <c r="U25" s="148"/>
      <c r="V25" s="148"/>
      <c r="W25" s="148"/>
      <c r="X25" s="148" t="s">
        <v>34</v>
      </c>
      <c r="Y25" s="148"/>
      <c r="Z25" s="148"/>
      <c r="AA25" s="5"/>
      <c r="AB25" s="448"/>
      <c r="AC25" s="448"/>
      <c r="AD25" s="448"/>
      <c r="AE25" s="448"/>
      <c r="AF25" s="448"/>
      <c r="AG25" s="448"/>
      <c r="AH25" s="448"/>
      <c r="AI25" s="448"/>
      <c r="AJ25" s="448"/>
      <c r="AK25" s="448"/>
      <c r="AL25" s="448"/>
      <c r="AM25" s="448"/>
      <c r="AN25" s="448"/>
      <c r="AO25" s="448"/>
      <c r="AP25" s="448"/>
      <c r="AQ25" s="448"/>
      <c r="AR25" s="148"/>
      <c r="AZ25" s="153" t="s">
        <v>238</v>
      </c>
      <c r="BB25" s="243" t="s">
        <v>521</v>
      </c>
      <c r="EK25" s="30" t="s">
        <v>540</v>
      </c>
    </row>
    <row r="26" spans="5:141" ht="16.5" customHeight="1">
      <c r="E26" s="148"/>
      <c r="F26" s="148"/>
      <c r="G26" s="148"/>
      <c r="H26" s="148"/>
      <c r="I26" s="148"/>
      <c r="J26" s="148"/>
      <c r="K26" s="148"/>
      <c r="L26" s="148"/>
      <c r="M26" s="148"/>
      <c r="N26" s="148"/>
      <c r="O26" s="148"/>
      <c r="P26" s="148"/>
      <c r="Q26" s="148"/>
      <c r="R26" s="148"/>
      <c r="S26" s="148"/>
      <c r="T26" s="148"/>
      <c r="U26" s="148"/>
      <c r="V26" s="148"/>
      <c r="W26" s="148"/>
      <c r="AA26" s="5"/>
      <c r="AB26" s="448"/>
      <c r="AC26" s="448"/>
      <c r="AD26" s="448"/>
      <c r="AE26" s="448"/>
      <c r="AF26" s="448"/>
      <c r="AG26" s="448"/>
      <c r="AH26" s="448"/>
      <c r="AI26" s="448"/>
      <c r="AJ26" s="448"/>
      <c r="AK26" s="448"/>
      <c r="AL26" s="448"/>
      <c r="AM26" s="448"/>
      <c r="AN26" s="448"/>
      <c r="AO26" s="448"/>
      <c r="AP26" s="448"/>
      <c r="AQ26" s="448"/>
      <c r="AR26" s="148"/>
      <c r="AZ26" s="153" t="s">
        <v>239</v>
      </c>
      <c r="BB26" s="243" t="s">
        <v>522</v>
      </c>
      <c r="EK26" s="30" t="s">
        <v>541</v>
      </c>
    </row>
    <row r="27" spans="5:141" ht="16.5" customHeight="1">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t="s">
        <v>275</v>
      </c>
      <c r="AC27" s="148"/>
      <c r="AD27" s="148"/>
      <c r="AE27" s="148"/>
      <c r="AF27" s="488" t="s">
        <v>490</v>
      </c>
      <c r="AG27" s="488"/>
      <c r="AH27" s="488"/>
      <c r="AI27" s="488"/>
      <c r="AJ27" s="488"/>
      <c r="AK27" s="488"/>
      <c r="AL27" s="488"/>
      <c r="AM27" s="488"/>
      <c r="AN27" s="148"/>
      <c r="AO27" s="148"/>
      <c r="AP27" s="148"/>
      <c r="AQ27" s="148"/>
      <c r="AR27" s="148"/>
      <c r="AZ27" s="153" t="s">
        <v>240</v>
      </c>
      <c r="BB27" s="243" t="s">
        <v>446</v>
      </c>
      <c r="EK27" s="30" t="s">
        <v>542</v>
      </c>
    </row>
    <row r="28" spans="5:141" ht="16.5" customHeight="1">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R28" s="148"/>
      <c r="AZ28" s="153" t="s">
        <v>241</v>
      </c>
      <c r="BB28" s="243" t="s">
        <v>447</v>
      </c>
      <c r="EK28" s="30" t="s">
        <v>543</v>
      </c>
    </row>
    <row r="29" spans="5:141" ht="16.5" customHeight="1">
      <c r="E29" s="148"/>
      <c r="F29" s="148"/>
      <c r="G29" s="148"/>
      <c r="H29" s="148"/>
      <c r="I29" s="148"/>
      <c r="J29" s="148"/>
      <c r="K29" s="148"/>
      <c r="L29" s="148"/>
      <c r="M29" s="148"/>
      <c r="N29" s="148"/>
      <c r="O29" s="148"/>
      <c r="P29" s="148"/>
      <c r="Q29" s="148"/>
      <c r="R29" s="148"/>
      <c r="S29" s="148"/>
      <c r="T29" s="148"/>
      <c r="U29" s="148"/>
      <c r="V29" s="148"/>
      <c r="W29" s="148"/>
      <c r="X29" s="489" t="s">
        <v>35</v>
      </c>
      <c r="Y29" s="489"/>
      <c r="Z29" s="489"/>
      <c r="AA29" s="489"/>
      <c r="AB29" s="447"/>
      <c r="AC29" s="447"/>
      <c r="AD29" s="447"/>
      <c r="AE29" s="447"/>
      <c r="AF29" s="447"/>
      <c r="AG29" s="447"/>
      <c r="AH29" s="447"/>
      <c r="AI29" s="447"/>
      <c r="AJ29" s="447"/>
      <c r="AK29" s="447"/>
      <c r="AL29" s="447"/>
      <c r="AM29" s="447"/>
      <c r="AN29" s="447"/>
      <c r="AO29" s="447"/>
      <c r="AP29" s="447"/>
      <c r="AQ29" s="447"/>
      <c r="AR29" s="148"/>
      <c r="AZ29" s="153" t="s">
        <v>242</v>
      </c>
      <c r="BB29" s="243" t="s">
        <v>448</v>
      </c>
      <c r="EK29" s="30" t="s">
        <v>544</v>
      </c>
    </row>
    <row r="30" spans="5:141" ht="16.5" customHeight="1">
      <c r="E30" s="148"/>
      <c r="F30" s="148"/>
      <c r="G30" s="148"/>
      <c r="H30" s="148"/>
      <c r="I30" s="148"/>
      <c r="J30" s="148"/>
      <c r="K30" s="148"/>
      <c r="L30" s="148"/>
      <c r="M30" s="148"/>
      <c r="N30" s="148"/>
      <c r="O30" s="148"/>
      <c r="P30" s="148"/>
      <c r="Q30" s="148"/>
      <c r="R30" s="148"/>
      <c r="S30" s="148"/>
      <c r="T30" s="148"/>
      <c r="U30" s="148"/>
      <c r="V30" s="148"/>
      <c r="W30" s="148"/>
      <c r="X30" s="489"/>
      <c r="Y30" s="489"/>
      <c r="Z30" s="489"/>
      <c r="AA30" s="489"/>
      <c r="AB30" s="447"/>
      <c r="AC30" s="447"/>
      <c r="AD30" s="447"/>
      <c r="AE30" s="447"/>
      <c r="AF30" s="447"/>
      <c r="AG30" s="447"/>
      <c r="AH30" s="447"/>
      <c r="AI30" s="447"/>
      <c r="AJ30" s="447"/>
      <c r="AK30" s="447"/>
      <c r="AL30" s="447"/>
      <c r="AM30" s="447"/>
      <c r="AN30" s="447"/>
      <c r="AO30" s="447"/>
      <c r="AP30" s="447"/>
      <c r="AQ30" s="447"/>
      <c r="AR30" s="148"/>
      <c r="AZ30" s="153" t="s">
        <v>243</v>
      </c>
      <c r="BB30" s="243" t="s">
        <v>449</v>
      </c>
      <c r="EK30" s="30" t="s">
        <v>545</v>
      </c>
    </row>
    <row r="31" spans="5:141" ht="16.5" customHeight="1">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Z31" s="153" t="s">
        <v>246</v>
      </c>
      <c r="BB31" s="243" t="s">
        <v>450</v>
      </c>
      <c r="EK31" s="30" t="s">
        <v>546</v>
      </c>
    </row>
    <row r="32" spans="5:141" ht="16.5" customHeight="1">
      <c r="E32" s="148"/>
      <c r="F32" s="148"/>
      <c r="G32" s="148"/>
      <c r="H32" s="148"/>
      <c r="I32" s="148"/>
      <c r="J32" s="148"/>
      <c r="K32" s="148"/>
      <c r="L32" s="148"/>
      <c r="M32" s="148"/>
      <c r="N32" s="148"/>
      <c r="O32" s="148"/>
      <c r="P32" s="148"/>
      <c r="Q32" s="148"/>
      <c r="R32" s="148"/>
      <c r="S32" s="148"/>
      <c r="T32" s="148"/>
      <c r="U32" s="148"/>
      <c r="V32" s="148"/>
      <c r="X32" s="148" t="s">
        <v>36</v>
      </c>
      <c r="Y32" s="148"/>
      <c r="Z32" s="148"/>
      <c r="AA32" s="148"/>
      <c r="AB32" s="490"/>
      <c r="AC32" s="490"/>
      <c r="AD32" s="490"/>
      <c r="AE32" s="490"/>
      <c r="AF32" s="490"/>
      <c r="AG32" s="490"/>
      <c r="AH32" s="490"/>
      <c r="AI32" s="490"/>
      <c r="AJ32" s="490"/>
      <c r="AK32" s="490"/>
      <c r="AL32" s="490"/>
      <c r="AM32" s="490"/>
      <c r="AN32" s="490"/>
      <c r="AO32" s="273"/>
      <c r="AP32" s="148"/>
      <c r="AQ32" s="148"/>
      <c r="AR32" s="148"/>
      <c r="AZ32" s="153" t="s">
        <v>247</v>
      </c>
      <c r="BB32" s="243" t="s">
        <v>451</v>
      </c>
      <c r="EK32" s="30" t="s">
        <v>547</v>
      </c>
    </row>
    <row r="33" spans="5:141" ht="16.5" customHeight="1">
      <c r="E33" s="148"/>
      <c r="F33" s="148"/>
      <c r="G33" s="148"/>
      <c r="H33" s="148"/>
      <c r="I33" s="148"/>
      <c r="J33" s="148"/>
      <c r="K33" s="148"/>
      <c r="L33" s="148"/>
      <c r="M33" s="148"/>
      <c r="N33" s="148"/>
      <c r="O33" s="148"/>
      <c r="P33" s="148"/>
      <c r="Q33" s="148"/>
      <c r="R33" s="148"/>
      <c r="S33" s="148"/>
      <c r="T33" s="148"/>
      <c r="U33" s="148"/>
      <c r="V33" s="148"/>
      <c r="W33" s="148"/>
      <c r="X33" s="148" t="s">
        <v>37</v>
      </c>
      <c r="Y33" s="148"/>
      <c r="Z33" s="148"/>
      <c r="AA33" s="148"/>
      <c r="AB33" s="148"/>
      <c r="AC33" s="148"/>
      <c r="AD33" s="148"/>
      <c r="AE33" s="148"/>
      <c r="AF33" s="148"/>
      <c r="AG33" s="148"/>
      <c r="AH33" s="148"/>
      <c r="AI33" s="148"/>
      <c r="AJ33" s="148"/>
      <c r="AN33" s="148"/>
      <c r="AO33" s="148"/>
      <c r="AP33" s="148"/>
      <c r="AQ33" s="148"/>
      <c r="AR33" s="148"/>
      <c r="AZ33" s="153" t="s">
        <v>248</v>
      </c>
      <c r="BB33" s="243"/>
      <c r="EK33" s="30" t="s">
        <v>548</v>
      </c>
    </row>
    <row r="34" spans="5:141" ht="16.5" customHeight="1">
      <c r="E34" s="148"/>
      <c r="F34" s="148"/>
      <c r="G34" s="148"/>
      <c r="H34" s="148"/>
      <c r="I34" s="148"/>
      <c r="J34" s="148"/>
      <c r="K34" s="148"/>
      <c r="L34" s="148"/>
      <c r="M34" s="148"/>
      <c r="N34" s="148"/>
      <c r="O34" s="148"/>
      <c r="P34" s="148"/>
      <c r="Q34" s="148"/>
      <c r="R34" s="148"/>
      <c r="S34" s="148"/>
      <c r="T34" s="148"/>
      <c r="U34" s="148"/>
      <c r="V34" s="148"/>
      <c r="W34" s="148"/>
      <c r="X34" s="61" t="s">
        <v>38</v>
      </c>
      <c r="Y34" s="148"/>
      <c r="Z34" s="148"/>
      <c r="AA34" s="148"/>
      <c r="AC34" s="148"/>
      <c r="AD34" s="148"/>
      <c r="AE34" s="148"/>
      <c r="AF34" s="148"/>
      <c r="AG34" s="148"/>
      <c r="AH34" s="148"/>
      <c r="AI34" s="148"/>
      <c r="AJ34" s="148"/>
      <c r="AN34" s="148"/>
      <c r="AO34" s="148"/>
      <c r="AP34" s="148"/>
      <c r="AQ34" s="148"/>
      <c r="AR34" s="148"/>
      <c r="AZ34" s="153" t="s">
        <v>249</v>
      </c>
      <c r="BB34" s="243"/>
      <c r="EK34" s="30" t="s">
        <v>549</v>
      </c>
    </row>
    <row r="35" spans="5:141" ht="17.25" customHeight="1">
      <c r="E35" s="148"/>
      <c r="F35" s="148"/>
      <c r="G35" s="148"/>
      <c r="H35" s="148"/>
      <c r="I35" s="148"/>
      <c r="J35" s="148"/>
      <c r="K35" s="148"/>
      <c r="L35" s="148"/>
      <c r="M35" s="148"/>
      <c r="N35" s="148"/>
      <c r="O35" s="148"/>
      <c r="P35" s="148"/>
      <c r="Q35" s="148"/>
      <c r="R35" s="148"/>
      <c r="S35" s="148"/>
      <c r="T35" s="148"/>
      <c r="U35" s="148"/>
      <c r="V35" s="148"/>
      <c r="W35" s="148"/>
      <c r="X35" s="440" t="s">
        <v>456</v>
      </c>
      <c r="Y35" s="450"/>
      <c r="Z35" s="450"/>
      <c r="AA35" s="450"/>
      <c r="AB35" s="450"/>
      <c r="AC35" s="447"/>
      <c r="AD35" s="447"/>
      <c r="AE35" s="447"/>
      <c r="AF35" s="447"/>
      <c r="AG35" s="447"/>
      <c r="AH35" s="447"/>
      <c r="AI35" s="447"/>
      <c r="AJ35" s="447"/>
      <c r="AK35" s="447"/>
      <c r="AL35" s="447"/>
      <c r="AM35" s="447"/>
      <c r="AN35" s="447"/>
      <c r="AO35" s="273"/>
      <c r="AP35" s="148"/>
      <c r="AQ35" s="148"/>
      <c r="AR35" s="148"/>
      <c r="AZ35" s="153" t="s">
        <v>250</v>
      </c>
      <c r="BB35" s="243"/>
      <c r="EK35" s="30" t="s">
        <v>550</v>
      </c>
    </row>
    <row r="36" spans="5:141" ht="17.25" customHeight="1">
      <c r="E36" s="148"/>
      <c r="F36" s="148"/>
      <c r="G36" s="148"/>
      <c r="H36" s="148"/>
      <c r="I36" s="148"/>
      <c r="J36" s="148"/>
      <c r="K36" s="148"/>
      <c r="L36" s="148"/>
      <c r="M36" s="148"/>
      <c r="N36" s="148"/>
      <c r="O36" s="148"/>
      <c r="P36" s="148"/>
      <c r="Q36" s="148"/>
      <c r="R36" s="148"/>
      <c r="S36" s="148"/>
      <c r="T36" s="148"/>
      <c r="U36" s="148"/>
      <c r="V36" s="148"/>
      <c r="W36" s="148"/>
      <c r="X36" s="450"/>
      <c r="Y36" s="450"/>
      <c r="Z36" s="450"/>
      <c r="AA36" s="450"/>
      <c r="AB36" s="450"/>
      <c r="AC36" s="447"/>
      <c r="AD36" s="447"/>
      <c r="AE36" s="447"/>
      <c r="AF36" s="447"/>
      <c r="AG36" s="447"/>
      <c r="AH36" s="447"/>
      <c r="AI36" s="447"/>
      <c r="AJ36" s="447"/>
      <c r="AK36" s="447"/>
      <c r="AL36" s="447"/>
      <c r="AM36" s="447"/>
      <c r="AN36" s="447"/>
      <c r="AO36" s="148"/>
      <c r="AP36" s="148"/>
      <c r="AQ36" s="148"/>
      <c r="AR36" s="148"/>
      <c r="AZ36" s="153" t="s">
        <v>244</v>
      </c>
      <c r="BB36" s="243"/>
      <c r="EK36" s="30" t="s">
        <v>551</v>
      </c>
    </row>
    <row r="37" spans="5:141" ht="16.5" customHeight="1">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N37" s="148"/>
      <c r="AO37" s="148"/>
      <c r="AP37" s="148"/>
      <c r="AQ37" s="148"/>
      <c r="AR37" s="148"/>
      <c r="AZ37" s="153" t="s">
        <v>245</v>
      </c>
      <c r="BB37" s="243"/>
      <c r="EK37" s="30" t="s">
        <v>552</v>
      </c>
    </row>
    <row r="38" spans="5:141" ht="16.5" customHeight="1">
      <c r="E38" s="148"/>
      <c r="F38" s="148"/>
      <c r="G38" s="148"/>
      <c r="H38" s="148"/>
      <c r="I38" s="148"/>
      <c r="J38" s="148"/>
      <c r="K38" s="148"/>
      <c r="L38" s="148"/>
      <c r="M38" s="148"/>
      <c r="N38" s="148"/>
      <c r="O38" s="148"/>
      <c r="P38" s="148"/>
      <c r="Q38" s="148"/>
      <c r="R38" s="148"/>
      <c r="S38" s="148"/>
      <c r="T38" s="148"/>
      <c r="U38" s="148"/>
      <c r="V38" s="148"/>
      <c r="W38" s="148"/>
      <c r="X38" s="148" t="s">
        <v>489</v>
      </c>
      <c r="Y38" s="148"/>
      <c r="Z38" s="148"/>
      <c r="AA38" s="148"/>
      <c r="AB38" s="148"/>
      <c r="AD38" s="30"/>
      <c r="AE38" s="30"/>
      <c r="AF38" s="30"/>
      <c r="AG38" s="30"/>
      <c r="AH38" s="30"/>
      <c r="AI38" s="30"/>
      <c r="AJ38" s="30"/>
      <c r="AK38" s="30"/>
      <c r="AL38" s="30"/>
      <c r="AM38" s="30"/>
      <c r="AN38" s="30"/>
      <c r="AO38" s="30"/>
      <c r="AP38" s="148"/>
      <c r="AQ38" s="148"/>
      <c r="AR38" s="148"/>
      <c r="AZ38" s="153" t="s">
        <v>251</v>
      </c>
      <c r="BB38" s="243"/>
      <c r="EK38" s="30" t="s">
        <v>553</v>
      </c>
    </row>
    <row r="39" spans="5:141" ht="16.5" customHeight="1">
      <c r="E39" s="204"/>
      <c r="F39" s="204"/>
      <c r="G39" s="30"/>
      <c r="H39" s="204"/>
      <c r="I39" s="10"/>
      <c r="J39" s="204"/>
      <c r="K39" s="204"/>
      <c r="L39" s="204"/>
      <c r="M39" s="204"/>
      <c r="N39" s="204"/>
      <c r="O39" s="11"/>
      <c r="P39" s="11"/>
      <c r="Q39" s="11"/>
      <c r="R39" s="11"/>
      <c r="S39" s="11"/>
      <c r="T39" s="11"/>
      <c r="U39" s="11"/>
      <c r="V39" s="11"/>
      <c r="W39" s="11"/>
      <c r="X39" s="317" t="s">
        <v>465</v>
      </c>
      <c r="Y39" s="317"/>
      <c r="Z39" s="317"/>
      <c r="AA39" s="148"/>
      <c r="AB39" s="204"/>
      <c r="AC39" s="491"/>
      <c r="AD39" s="491"/>
      <c r="AE39" s="491"/>
      <c r="AF39" s="491"/>
      <c r="AG39" s="491"/>
      <c r="AH39" s="491"/>
      <c r="AI39" s="491"/>
      <c r="AJ39" s="491"/>
      <c r="AK39" s="491"/>
      <c r="AL39" s="491"/>
      <c r="AM39" s="491"/>
      <c r="AN39" s="491"/>
      <c r="AO39" s="204"/>
      <c r="AP39" s="204"/>
      <c r="AQ39" s="204"/>
      <c r="AR39" s="204"/>
      <c r="AZ39" s="153" t="s">
        <v>252</v>
      </c>
      <c r="BB39" s="243"/>
      <c r="EK39" s="30" t="s">
        <v>554</v>
      </c>
    </row>
    <row r="40" spans="5:141" ht="16.5" customHeight="1">
      <c r="E40" s="204"/>
      <c r="F40" s="204"/>
      <c r="G40" s="30"/>
      <c r="H40" s="204"/>
      <c r="I40" s="10"/>
      <c r="J40" s="204"/>
      <c r="K40" s="204"/>
      <c r="L40" s="204"/>
      <c r="M40" s="204"/>
      <c r="N40" s="204"/>
      <c r="O40" s="11"/>
      <c r="P40" s="11"/>
      <c r="Q40" s="11"/>
      <c r="R40" s="11"/>
      <c r="S40" s="11"/>
      <c r="T40" s="11"/>
      <c r="U40" s="11"/>
      <c r="V40" s="11"/>
      <c r="W40" s="11"/>
      <c r="X40" s="317" t="s">
        <v>466</v>
      </c>
      <c r="Y40" s="317"/>
      <c r="Z40" s="317"/>
      <c r="AA40" s="148"/>
      <c r="AB40" s="204"/>
      <c r="AC40" s="491"/>
      <c r="AD40" s="491"/>
      <c r="AE40" s="491"/>
      <c r="AF40" s="491"/>
      <c r="AG40" s="491"/>
      <c r="AH40" s="491"/>
      <c r="AI40" s="491"/>
      <c r="AJ40" s="491"/>
      <c r="AK40" s="491"/>
      <c r="AL40" s="491"/>
      <c r="AM40" s="491"/>
      <c r="AN40" s="491"/>
      <c r="AO40" s="204"/>
      <c r="AP40" s="204"/>
      <c r="AQ40" s="204"/>
      <c r="AR40" s="204"/>
      <c r="AZ40" s="153" t="s">
        <v>253</v>
      </c>
      <c r="BB40" s="243"/>
      <c r="EK40" s="30" t="s">
        <v>555</v>
      </c>
    </row>
    <row r="41" spans="5:141" ht="16.5" customHeight="1">
      <c r="E41" s="148"/>
      <c r="F41" s="148"/>
      <c r="G41" s="148"/>
      <c r="H41" s="148"/>
      <c r="I41" s="148"/>
      <c r="J41" s="148"/>
      <c r="K41" s="148"/>
      <c r="L41" s="148"/>
      <c r="M41" s="148"/>
      <c r="N41" s="148"/>
      <c r="O41" s="148"/>
      <c r="P41" s="148"/>
      <c r="Q41" s="148"/>
      <c r="R41" s="148"/>
      <c r="S41" s="148"/>
      <c r="T41" s="148"/>
      <c r="U41" s="148"/>
      <c r="V41" s="148"/>
      <c r="W41" s="148"/>
      <c r="X41" s="317" t="s">
        <v>467</v>
      </c>
      <c r="Y41" s="317"/>
      <c r="Z41" s="317"/>
      <c r="AA41" s="317"/>
      <c r="AB41" s="30"/>
      <c r="AC41" s="488" t="s">
        <v>501</v>
      </c>
      <c r="AD41" s="488"/>
      <c r="AE41" s="488"/>
      <c r="AF41" s="488"/>
      <c r="AG41" s="488"/>
      <c r="AH41" s="488"/>
      <c r="AI41" s="488"/>
      <c r="AJ41" s="488"/>
      <c r="AK41" s="271"/>
      <c r="AL41" s="271"/>
      <c r="AM41" s="271"/>
      <c r="AN41" s="268"/>
      <c r="AO41" s="148"/>
      <c r="AP41" s="148"/>
      <c r="AQ41" s="148"/>
      <c r="AR41" s="148"/>
      <c r="AZ41" s="153" t="s">
        <v>254</v>
      </c>
      <c r="BB41" s="243"/>
      <c r="EK41" s="30" t="s">
        <v>556</v>
      </c>
    </row>
    <row r="42" spans="5:141" ht="16.5" customHeight="1">
      <c r="E42" s="148"/>
      <c r="F42" s="148"/>
      <c r="G42" s="148"/>
      <c r="H42" s="148"/>
      <c r="I42" s="148"/>
      <c r="J42" s="148"/>
      <c r="K42" s="148"/>
      <c r="L42" s="148"/>
      <c r="M42" s="148"/>
      <c r="N42" s="148"/>
      <c r="O42" s="148"/>
      <c r="P42" s="148"/>
      <c r="Q42" s="148"/>
      <c r="R42" s="148"/>
      <c r="S42" s="148"/>
      <c r="T42" s="148"/>
      <c r="U42" s="272" t="s">
        <v>589</v>
      </c>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Z42" s="153" t="s">
        <v>255</v>
      </c>
      <c r="BB42" s="243"/>
      <c r="EK42" s="30" t="s">
        <v>557</v>
      </c>
    </row>
    <row r="43" spans="5:141" ht="16.5" customHeight="1">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Z43" s="153" t="s">
        <v>491</v>
      </c>
      <c r="BB43" s="243"/>
      <c r="EK43" s="30" t="s">
        <v>558</v>
      </c>
    </row>
    <row r="44" spans="5:141" ht="16.5" customHeight="1">
      <c r="E44" s="147"/>
      <c r="F44" s="148"/>
      <c r="G44" s="148"/>
      <c r="H44" s="445" t="s">
        <v>30</v>
      </c>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148"/>
      <c r="AR44" s="148"/>
      <c r="AZ44" s="153" t="s">
        <v>492</v>
      </c>
      <c r="BB44" s="243"/>
      <c r="EK44" s="30" t="s">
        <v>559</v>
      </c>
    </row>
    <row r="45" spans="5:141" ht="16.5" customHeight="1">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Z45" s="153" t="s">
        <v>493</v>
      </c>
      <c r="BB45" s="243"/>
      <c r="EK45" s="30" t="s">
        <v>560</v>
      </c>
    </row>
    <row r="46" spans="5:141" ht="16.5" customHeight="1">
      <c r="E46" s="147"/>
      <c r="F46" s="148"/>
      <c r="G46" s="6"/>
      <c r="H46" s="445" t="s">
        <v>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148"/>
      <c r="AR46" s="148"/>
      <c r="AZ46" s="153" t="s">
        <v>494</v>
      </c>
      <c r="BB46" s="243"/>
      <c r="EK46" s="30" t="s">
        <v>561</v>
      </c>
    </row>
    <row r="47" spans="5:141" ht="16.5" customHeight="1">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Z47" s="153" t="s">
        <v>495</v>
      </c>
      <c r="BB47" s="243"/>
      <c r="EK47" s="30" t="s">
        <v>562</v>
      </c>
    </row>
    <row r="48" spans="5:141" ht="16.5" customHeight="1">
      <c r="E48" s="148"/>
      <c r="F48" s="148" t="s">
        <v>40</v>
      </c>
      <c r="G48" s="148"/>
      <c r="H48" s="148" t="s">
        <v>41</v>
      </c>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Z48" s="153" t="s">
        <v>496</v>
      </c>
      <c r="BB48" s="243"/>
      <c r="EK48" s="30" t="s">
        <v>563</v>
      </c>
    </row>
    <row r="49" spans="5:141" ht="16.5" customHeight="1">
      <c r="E49" s="148"/>
      <c r="F49" s="148" t="s">
        <v>42</v>
      </c>
      <c r="G49" s="148"/>
      <c r="H49" s="148" t="s">
        <v>43</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Z49" s="153" t="s">
        <v>497</v>
      </c>
      <c r="BB49" s="243"/>
      <c r="EK49" s="30" t="s">
        <v>564</v>
      </c>
    </row>
    <row r="50" spans="5:141" ht="16.5" customHeight="1">
      <c r="E50" s="148"/>
      <c r="F50" s="148" t="s">
        <v>44</v>
      </c>
      <c r="G50" s="148"/>
      <c r="H50" s="148" t="s">
        <v>45</v>
      </c>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Z50" s="153" t="s">
        <v>498</v>
      </c>
      <c r="BB50" s="243"/>
      <c r="EK50" s="30" t="s">
        <v>565</v>
      </c>
    </row>
    <row r="51" spans="5:141" ht="16.5" customHeight="1">
      <c r="E51" s="148"/>
      <c r="F51" s="148" t="s">
        <v>46</v>
      </c>
      <c r="G51" s="148"/>
      <c r="H51" s="148" t="s">
        <v>47</v>
      </c>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Z51" s="153" t="s">
        <v>499</v>
      </c>
      <c r="BB51" s="243"/>
      <c r="EK51" s="30" t="s">
        <v>566</v>
      </c>
    </row>
    <row r="52" spans="5:141" ht="16.5" customHeight="1">
      <c r="E52" s="148"/>
      <c r="F52" s="148" t="s">
        <v>57</v>
      </c>
      <c r="G52" s="148"/>
      <c r="H52" s="148" t="s">
        <v>48</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Z52" s="153" t="s">
        <v>500</v>
      </c>
      <c r="BB52" s="243"/>
      <c r="EK52" s="30" t="s">
        <v>567</v>
      </c>
    </row>
    <row r="53" spans="5:141" ht="16.5" customHeight="1">
      <c r="E53" s="148"/>
      <c r="F53" s="148" t="s">
        <v>58</v>
      </c>
      <c r="G53" s="148"/>
      <c r="H53" s="148" t="s">
        <v>49</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Z53" s="153" t="s">
        <v>258</v>
      </c>
      <c r="EK53" s="30" t="s">
        <v>568</v>
      </c>
    </row>
    <row r="54" spans="5:141" ht="16.5" customHeight="1">
      <c r="E54" s="148"/>
      <c r="F54" s="148" t="s">
        <v>59</v>
      </c>
      <c r="G54" s="148"/>
      <c r="H54" s="148" t="s">
        <v>50</v>
      </c>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Z54" s="153" t="s">
        <v>256</v>
      </c>
      <c r="EK54" s="30" t="s">
        <v>569</v>
      </c>
    </row>
    <row r="55" spans="5:141" ht="16.5" customHeight="1">
      <c r="E55" s="148"/>
      <c r="F55" s="148" t="s">
        <v>60</v>
      </c>
      <c r="G55" s="148"/>
      <c r="H55" s="148" t="s">
        <v>51</v>
      </c>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Z55" s="153" t="s">
        <v>259</v>
      </c>
      <c r="EK55" s="30" t="s">
        <v>570</v>
      </c>
    </row>
    <row r="56" spans="5:141" ht="16.5" customHeight="1">
      <c r="E56" s="148"/>
      <c r="F56" s="148" t="s">
        <v>61</v>
      </c>
      <c r="G56" s="148"/>
      <c r="H56" s="148" t="s">
        <v>52</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Z56" s="153" t="s">
        <v>257</v>
      </c>
      <c r="EK56" s="30" t="s">
        <v>571</v>
      </c>
    </row>
    <row r="57" spans="5:141" ht="16.5" customHeight="1">
      <c r="E57" s="148"/>
      <c r="F57" s="148" t="s">
        <v>62</v>
      </c>
      <c r="G57" s="148"/>
      <c r="H57" s="148" t="s">
        <v>317</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Z57" s="153" t="s">
        <v>260</v>
      </c>
      <c r="EK57" s="30" t="s">
        <v>572</v>
      </c>
    </row>
    <row r="58" spans="5:141" ht="16.5" customHeight="1">
      <c r="E58" s="148"/>
      <c r="F58" s="148" t="s">
        <v>63</v>
      </c>
      <c r="G58" s="148"/>
      <c r="H58" s="148" t="s">
        <v>318</v>
      </c>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Z58" s="153" t="s">
        <v>261</v>
      </c>
      <c r="EK58" s="30" t="s">
        <v>573</v>
      </c>
    </row>
    <row r="59" spans="5:141" ht="16.5" customHeight="1">
      <c r="E59" s="148"/>
      <c r="F59" s="148" t="s">
        <v>64</v>
      </c>
      <c r="G59" s="148"/>
      <c r="H59" s="148" t="s">
        <v>53</v>
      </c>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Z59" s="153" t="s">
        <v>262</v>
      </c>
      <c r="EK59" s="30" t="s">
        <v>574</v>
      </c>
    </row>
    <row r="60" spans="5:141" ht="16.5" customHeight="1">
      <c r="E60" s="148"/>
      <c r="F60" s="148" t="s">
        <v>65</v>
      </c>
      <c r="G60" s="148"/>
      <c r="H60" s="148" t="s">
        <v>54</v>
      </c>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Z60" s="153" t="s">
        <v>263</v>
      </c>
      <c r="EK60" s="30" t="s">
        <v>575</v>
      </c>
    </row>
    <row r="61" spans="5:141" ht="16.5" customHeight="1">
      <c r="E61" s="148"/>
      <c r="F61" s="148"/>
      <c r="G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Z61" s="153" t="s">
        <v>264</v>
      </c>
      <c r="EK61" s="30" t="s">
        <v>576</v>
      </c>
    </row>
    <row r="62" spans="5:141" ht="16.5" customHeight="1">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Z62" s="151" t="s">
        <v>265</v>
      </c>
      <c r="EK62" s="30" t="s">
        <v>577</v>
      </c>
    </row>
    <row r="63" spans="5:141" ht="16.5" customHeight="1">
      <c r="E63" s="148"/>
      <c r="F63" s="148"/>
      <c r="G63" s="148"/>
      <c r="H63" s="148"/>
      <c r="I63" s="7"/>
      <c r="J63" s="7"/>
      <c r="K63" s="7"/>
      <c r="L63" s="7"/>
      <c r="M63" s="7"/>
      <c r="N63" s="7"/>
      <c r="O63" s="7"/>
      <c r="P63" s="7"/>
      <c r="Q63" s="7"/>
      <c r="R63" s="7"/>
      <c r="S63" s="7"/>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Z63" s="151" t="s">
        <v>266</v>
      </c>
      <c r="EK63" s="30" t="s">
        <v>578</v>
      </c>
    </row>
    <row r="64" spans="5:141" ht="16.5" customHeight="1">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Z64" s="151" t="s">
        <v>267</v>
      </c>
      <c r="EK64" s="30" t="s">
        <v>579</v>
      </c>
    </row>
    <row r="65" spans="5:141" ht="16.5" customHeight="1">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Z65" s="151" t="s">
        <v>268</v>
      </c>
      <c r="EK65" s="30" t="s">
        <v>580</v>
      </c>
    </row>
    <row r="66" spans="5:141" ht="18" customHeight="1">
      <c r="E66" s="148"/>
      <c r="F66" s="148"/>
      <c r="G66" s="148" t="s">
        <v>55</v>
      </c>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Z66" s="151" t="s">
        <v>269</v>
      </c>
      <c r="EK66" s="30" t="s">
        <v>581</v>
      </c>
    </row>
    <row r="67" spans="5:141" ht="18" customHeight="1">
      <c r="E67" s="148"/>
      <c r="F67" s="148"/>
      <c r="G67" s="317" t="s">
        <v>477</v>
      </c>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148"/>
      <c r="AZ67" s="151" t="s">
        <v>270</v>
      </c>
      <c r="EK67" s="30" t="s">
        <v>582</v>
      </c>
    </row>
    <row r="68" spans="5:141" ht="18" customHeight="1">
      <c r="E68" s="148"/>
      <c r="F68" s="148"/>
      <c r="G68" s="317" t="s">
        <v>319</v>
      </c>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148"/>
      <c r="AZ68" s="151" t="s">
        <v>271</v>
      </c>
      <c r="EK68" s="30" t="s">
        <v>583</v>
      </c>
    </row>
    <row r="69" spans="5:52" ht="18" customHeight="1">
      <c r="E69" s="148"/>
      <c r="F69" s="148"/>
      <c r="G69" s="317" t="s">
        <v>320</v>
      </c>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148"/>
      <c r="AZ69" s="151" t="s">
        <v>272</v>
      </c>
    </row>
    <row r="70" spans="5:52" ht="18" customHeight="1">
      <c r="E70" s="148"/>
      <c r="F70" s="148"/>
      <c r="G70" s="440" t="s">
        <v>457</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148"/>
      <c r="AZ70" s="151" t="s">
        <v>315</v>
      </c>
    </row>
    <row r="71" spans="5:44" ht="18" customHeight="1">
      <c r="E71" s="148"/>
      <c r="F71" s="148"/>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148"/>
    </row>
    <row r="72" spans="5:62" ht="18" customHeight="1">
      <c r="E72" s="148"/>
      <c r="F72" s="148"/>
      <c r="G72" s="440" t="s">
        <v>321</v>
      </c>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148"/>
      <c r="AZ72" s="153" t="s">
        <v>419</v>
      </c>
      <c r="BA72" s="153"/>
      <c r="BB72" s="153"/>
      <c r="BC72" s="153"/>
      <c r="BD72" s="153"/>
      <c r="BE72" s="153"/>
      <c r="BF72" s="153"/>
      <c r="BG72" s="153"/>
      <c r="BH72" s="153"/>
      <c r="BI72" s="153"/>
      <c r="BJ72" s="155"/>
    </row>
    <row r="73" spans="5:62" ht="18" customHeight="1">
      <c r="E73" s="148"/>
      <c r="F73" s="148"/>
      <c r="G73" s="317" t="s">
        <v>458</v>
      </c>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148"/>
      <c r="AZ73" s="277" t="s">
        <v>354</v>
      </c>
      <c r="BA73" s="277"/>
      <c r="BB73" s="277" t="s">
        <v>355</v>
      </c>
      <c r="BC73" s="277"/>
      <c r="BD73" s="277" t="s">
        <v>408</v>
      </c>
      <c r="BE73" s="277"/>
      <c r="BF73" s="277" t="s">
        <v>409</v>
      </c>
      <c r="BG73" s="277"/>
      <c r="BH73" s="277" t="s">
        <v>356</v>
      </c>
      <c r="BI73" s="277"/>
      <c r="BJ73" s="156"/>
    </row>
    <row r="74" spans="5:62" ht="18" customHeight="1">
      <c r="E74" s="148"/>
      <c r="F74" s="148"/>
      <c r="G74" s="483" t="s">
        <v>322</v>
      </c>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483"/>
      <c r="AN74" s="483"/>
      <c r="AO74" s="483"/>
      <c r="AP74" s="483"/>
      <c r="AQ74" s="483"/>
      <c r="AR74" s="148"/>
      <c r="AZ74" s="157" t="s">
        <v>410</v>
      </c>
      <c r="BA74" s="158" t="s">
        <v>423</v>
      </c>
      <c r="BB74" s="157" t="s">
        <v>410</v>
      </c>
      <c r="BC74" s="158" t="s">
        <v>353</v>
      </c>
      <c r="BD74" s="157" t="s">
        <v>410</v>
      </c>
      <c r="BE74" s="158" t="s">
        <v>353</v>
      </c>
      <c r="BF74" s="157" t="s">
        <v>410</v>
      </c>
      <c r="BG74" s="158" t="s">
        <v>353</v>
      </c>
      <c r="BH74" s="157" t="s">
        <v>410</v>
      </c>
      <c r="BI74" s="158" t="s">
        <v>353</v>
      </c>
      <c r="BJ74" s="159"/>
    </row>
    <row r="75" spans="5:62" ht="18" customHeight="1">
      <c r="E75" s="148"/>
      <c r="F75" s="148"/>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148"/>
      <c r="AZ75" s="160" t="s">
        <v>357</v>
      </c>
      <c r="BA75" s="161" t="s">
        <v>370</v>
      </c>
      <c r="BB75" s="160" t="s">
        <v>365</v>
      </c>
      <c r="BC75" s="161" t="s">
        <v>375</v>
      </c>
      <c r="BD75" s="160" t="s">
        <v>368</v>
      </c>
      <c r="BE75" s="161" t="s">
        <v>412</v>
      </c>
      <c r="BF75" s="160" t="s">
        <v>369</v>
      </c>
      <c r="BG75" s="161" t="s">
        <v>384</v>
      </c>
      <c r="BH75" s="160" t="s">
        <v>378</v>
      </c>
      <c r="BI75" s="161" t="s">
        <v>404</v>
      </c>
      <c r="BJ75" s="156" t="s">
        <v>434</v>
      </c>
    </row>
    <row r="76" spans="5:62" ht="18" customHeight="1">
      <c r="E76" s="148"/>
      <c r="F76" s="148"/>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c r="AN76" s="483"/>
      <c r="AO76" s="483"/>
      <c r="AP76" s="483"/>
      <c r="AQ76" s="483"/>
      <c r="AR76" s="148"/>
      <c r="AZ76" s="160" t="s">
        <v>359</v>
      </c>
      <c r="BA76" s="161" t="s">
        <v>371</v>
      </c>
      <c r="BB76" s="160" t="s">
        <v>366</v>
      </c>
      <c r="BC76" s="161" t="s">
        <v>386</v>
      </c>
      <c r="BD76" s="160" t="s">
        <v>276</v>
      </c>
      <c r="BE76" s="161"/>
      <c r="BF76" s="160" t="s">
        <v>420</v>
      </c>
      <c r="BG76" s="161" t="s">
        <v>421</v>
      </c>
      <c r="BH76" s="160" t="s">
        <v>379</v>
      </c>
      <c r="BI76" s="161" t="s">
        <v>387</v>
      </c>
      <c r="BJ76" s="156" t="s">
        <v>434</v>
      </c>
    </row>
    <row r="77" spans="5:62" ht="18" customHeight="1">
      <c r="E77" s="148"/>
      <c r="F77" s="148"/>
      <c r="G77" s="440" t="s">
        <v>323</v>
      </c>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148"/>
      <c r="AZ77" s="160" t="s">
        <v>363</v>
      </c>
      <c r="BA77" s="161" t="s">
        <v>371</v>
      </c>
      <c r="BB77" s="160" t="s">
        <v>367</v>
      </c>
      <c r="BC77" s="161" t="s">
        <v>383</v>
      </c>
      <c r="BD77" s="160" t="s">
        <v>276</v>
      </c>
      <c r="BE77" s="161"/>
      <c r="BF77" s="160"/>
      <c r="BG77" s="161"/>
      <c r="BH77" s="160" t="s">
        <v>388</v>
      </c>
      <c r="BI77" s="161" t="s">
        <v>397</v>
      </c>
      <c r="BJ77" s="156" t="s">
        <v>435</v>
      </c>
    </row>
    <row r="78" spans="5:62" ht="18" customHeight="1">
      <c r="E78" s="148"/>
      <c r="F78" s="148"/>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148"/>
      <c r="AZ78" s="160" t="s">
        <v>358</v>
      </c>
      <c r="BA78" s="161" t="s">
        <v>372</v>
      </c>
      <c r="BB78" s="160" t="s">
        <v>413</v>
      </c>
      <c r="BC78" s="161" t="s">
        <v>422</v>
      </c>
      <c r="BD78" s="160" t="s">
        <v>276</v>
      </c>
      <c r="BE78" s="161"/>
      <c r="BF78" s="160"/>
      <c r="BG78" s="161"/>
      <c r="BH78" s="160" t="s">
        <v>391</v>
      </c>
      <c r="BI78" s="161" t="s">
        <v>398</v>
      </c>
      <c r="BJ78" s="156" t="s">
        <v>436</v>
      </c>
    </row>
    <row r="79" spans="5:62" ht="18" customHeight="1">
      <c r="E79" s="148"/>
      <c r="F79" s="148"/>
      <c r="G79" s="439" t="s">
        <v>324</v>
      </c>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148"/>
      <c r="AT79" s="162"/>
      <c r="AZ79" s="160" t="s">
        <v>360</v>
      </c>
      <c r="BA79" s="161" t="s">
        <v>373</v>
      </c>
      <c r="BB79" s="160" t="s">
        <v>276</v>
      </c>
      <c r="BC79" s="161"/>
      <c r="BD79" s="160"/>
      <c r="BE79" s="161"/>
      <c r="BF79" s="160"/>
      <c r="BG79" s="161"/>
      <c r="BH79" s="160" t="s">
        <v>392</v>
      </c>
      <c r="BI79" s="161" t="s">
        <v>387</v>
      </c>
      <c r="BJ79" s="156" t="s">
        <v>276</v>
      </c>
    </row>
    <row r="80" spans="2:62" ht="18" customHeight="1">
      <c r="B80" s="152"/>
      <c r="E80" s="148"/>
      <c r="F80" s="148"/>
      <c r="G80" s="439" t="s">
        <v>325</v>
      </c>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148"/>
      <c r="AT80" s="162"/>
      <c r="AZ80" s="160" t="s">
        <v>364</v>
      </c>
      <c r="BA80" s="161" t="s">
        <v>373</v>
      </c>
      <c r="BB80" s="160" t="s">
        <v>276</v>
      </c>
      <c r="BC80" s="161"/>
      <c r="BD80" s="160"/>
      <c r="BE80" s="161"/>
      <c r="BF80" s="160"/>
      <c r="BG80" s="161"/>
      <c r="BH80" s="160" t="s">
        <v>389</v>
      </c>
      <c r="BI80" s="161" t="s">
        <v>399</v>
      </c>
      <c r="BJ80" s="156" t="s">
        <v>276</v>
      </c>
    </row>
    <row r="81" spans="5:62" ht="18" customHeight="1">
      <c r="E81" s="148"/>
      <c r="G81" s="440" t="s">
        <v>326</v>
      </c>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148"/>
      <c r="AT81" s="162"/>
      <c r="AZ81" s="160" t="s">
        <v>361</v>
      </c>
      <c r="BA81" s="161" t="s">
        <v>374</v>
      </c>
      <c r="BB81" s="160" t="s">
        <v>418</v>
      </c>
      <c r="BC81" s="161"/>
      <c r="BD81" s="160"/>
      <c r="BE81" s="161"/>
      <c r="BF81" s="160"/>
      <c r="BG81" s="161"/>
      <c r="BH81" s="160" t="s">
        <v>393</v>
      </c>
      <c r="BI81" s="161" t="s">
        <v>400</v>
      </c>
      <c r="BJ81" s="156" t="s">
        <v>276</v>
      </c>
    </row>
    <row r="82" spans="5:62" ht="18" customHeight="1">
      <c r="E82" s="148"/>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148"/>
      <c r="AZ82" s="160" t="s">
        <v>362</v>
      </c>
      <c r="BA82" s="161" t="s">
        <v>411</v>
      </c>
      <c r="BB82" s="160" t="s">
        <v>276</v>
      </c>
      <c r="BC82" s="161"/>
      <c r="BD82" s="160"/>
      <c r="BE82" s="161"/>
      <c r="BF82" s="160"/>
      <c r="BG82" s="161"/>
      <c r="BH82" s="160" t="s">
        <v>394</v>
      </c>
      <c r="BI82" s="161" t="s">
        <v>385</v>
      </c>
      <c r="BJ82" s="156" t="s">
        <v>434</v>
      </c>
    </row>
    <row r="83" spans="5:62" ht="18" customHeight="1">
      <c r="E83" s="148"/>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148"/>
      <c r="AZ83" s="160" t="s">
        <v>415</v>
      </c>
      <c r="BA83" s="161" t="s">
        <v>417</v>
      </c>
      <c r="BB83" s="160" t="s">
        <v>276</v>
      </c>
      <c r="BC83" s="161"/>
      <c r="BD83" s="160"/>
      <c r="BE83" s="161"/>
      <c r="BF83" s="160"/>
      <c r="BG83" s="161"/>
      <c r="BH83" s="160" t="s">
        <v>390</v>
      </c>
      <c r="BI83" s="161" t="s">
        <v>401</v>
      </c>
      <c r="BJ83" s="156" t="s">
        <v>436</v>
      </c>
    </row>
    <row r="84" spans="5:62" ht="16.5" customHeight="1">
      <c r="E84" s="148"/>
      <c r="F84" s="148"/>
      <c r="AR84" s="148"/>
      <c r="AZ84" s="160" t="s">
        <v>416</v>
      </c>
      <c r="BA84" s="161" t="s">
        <v>414</v>
      </c>
      <c r="BB84" s="160" t="s">
        <v>276</v>
      </c>
      <c r="BC84" s="161"/>
      <c r="BD84" s="160"/>
      <c r="BE84" s="161"/>
      <c r="BF84" s="160"/>
      <c r="BG84" s="161"/>
      <c r="BH84" s="160" t="s">
        <v>395</v>
      </c>
      <c r="BI84" s="161" t="s">
        <v>402</v>
      </c>
      <c r="BJ84" s="156" t="s">
        <v>276</v>
      </c>
    </row>
    <row r="85" spans="5:62" ht="16.5" customHeight="1">
      <c r="E85" s="148"/>
      <c r="F85" s="148"/>
      <c r="AR85" s="148"/>
      <c r="AZ85" s="258" t="s">
        <v>470</v>
      </c>
      <c r="BA85" s="259" t="s">
        <v>473</v>
      </c>
      <c r="BB85" s="160" t="s">
        <v>215</v>
      </c>
      <c r="BC85" s="161"/>
      <c r="BD85" s="160"/>
      <c r="BE85" s="161"/>
      <c r="BF85" s="160"/>
      <c r="BG85" s="161"/>
      <c r="BH85" s="160" t="s">
        <v>396</v>
      </c>
      <c r="BI85" s="161" t="s">
        <v>403</v>
      </c>
      <c r="BJ85" s="156" t="s">
        <v>276</v>
      </c>
    </row>
    <row r="86" spans="5:62" ht="12.75" customHeight="1">
      <c r="E86" s="148"/>
      <c r="F86" s="148"/>
      <c r="AR86" s="148"/>
      <c r="AZ86" s="160" t="s">
        <v>428</v>
      </c>
      <c r="BA86" s="161" t="s">
        <v>430</v>
      </c>
      <c r="BB86" s="160"/>
      <c r="BC86" s="161"/>
      <c r="BD86" s="160"/>
      <c r="BE86" s="161"/>
      <c r="BF86" s="160"/>
      <c r="BG86" s="161"/>
      <c r="BH86" s="160" t="s">
        <v>380</v>
      </c>
      <c r="BI86" s="161" t="s">
        <v>405</v>
      </c>
      <c r="BJ86" s="156"/>
    </row>
    <row r="87" spans="5:62" ht="12.75" customHeight="1">
      <c r="E87" s="148"/>
      <c r="F87" s="148"/>
      <c r="AR87" s="148"/>
      <c r="AZ87" s="160" t="s">
        <v>429</v>
      </c>
      <c r="BA87" s="161" t="s">
        <v>431</v>
      </c>
      <c r="BB87" s="160"/>
      <c r="BC87" s="161"/>
      <c r="BD87" s="160"/>
      <c r="BE87" s="161"/>
      <c r="BF87" s="160"/>
      <c r="BG87" s="161"/>
      <c r="BH87" s="160" t="s">
        <v>381</v>
      </c>
      <c r="BI87" s="161" t="s">
        <v>406</v>
      </c>
      <c r="BJ87" s="156"/>
    </row>
    <row r="88" spans="5:62" ht="12.75" customHeight="1">
      <c r="E88" s="148"/>
      <c r="F88" s="148"/>
      <c r="AR88" s="148"/>
      <c r="AZ88" s="160"/>
      <c r="BA88" s="161"/>
      <c r="BB88" s="160"/>
      <c r="BC88" s="161"/>
      <c r="BD88" s="160"/>
      <c r="BE88" s="161"/>
      <c r="BF88" s="160"/>
      <c r="BG88" s="161"/>
      <c r="BH88" s="160" t="s">
        <v>382</v>
      </c>
      <c r="BI88" s="161" t="s">
        <v>407</v>
      </c>
      <c r="BJ88" s="156"/>
    </row>
    <row r="89" spans="5:62" ht="12.75" customHeight="1">
      <c r="E89" s="148"/>
      <c r="F89" s="148"/>
      <c r="AR89" s="148"/>
      <c r="AZ89" s="160"/>
      <c r="BA89" s="161"/>
      <c r="BB89" s="160" t="s">
        <v>432</v>
      </c>
      <c r="BC89" s="161"/>
      <c r="BD89" s="160"/>
      <c r="BE89" s="161"/>
      <c r="BF89" s="160"/>
      <c r="BG89" s="161"/>
      <c r="BH89" s="258" t="s">
        <v>472</v>
      </c>
      <c r="BI89" s="259" t="s">
        <v>468</v>
      </c>
      <c r="BJ89" s="156" t="s">
        <v>276</v>
      </c>
    </row>
    <row r="90" spans="5:62" ht="12.75" customHeight="1">
      <c r="E90" s="148"/>
      <c r="F90" s="148"/>
      <c r="G90" s="69"/>
      <c r="H90" s="148"/>
      <c r="I90" s="70"/>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Z90" s="160"/>
      <c r="BA90" s="161"/>
      <c r="BB90" s="160" t="s">
        <v>215</v>
      </c>
      <c r="BC90" s="161"/>
      <c r="BD90" s="160"/>
      <c r="BE90" s="161"/>
      <c r="BF90" s="160"/>
      <c r="BG90" s="161"/>
      <c r="BH90" s="258" t="s">
        <v>482</v>
      </c>
      <c r="BI90" s="259" t="s">
        <v>471</v>
      </c>
      <c r="BJ90" s="156" t="s">
        <v>276</v>
      </c>
    </row>
    <row r="91" spans="5:62" ht="12.75" customHeight="1">
      <c r="E91" s="148"/>
      <c r="F91" s="148"/>
      <c r="G91" s="69"/>
      <c r="H91" s="148"/>
      <c r="I91" s="70"/>
      <c r="J91" s="148"/>
      <c r="K91" s="148"/>
      <c r="L91" s="148"/>
      <c r="M91" s="148"/>
      <c r="N91" s="148"/>
      <c r="O91" s="148"/>
      <c r="P91" s="148"/>
      <c r="Q91" s="148"/>
      <c r="R91" s="148"/>
      <c r="S91" s="71"/>
      <c r="T91" s="71"/>
      <c r="U91" s="71"/>
      <c r="V91" s="71"/>
      <c r="W91" s="71"/>
      <c r="X91" s="71"/>
      <c r="Y91" s="71"/>
      <c r="Z91" s="148"/>
      <c r="AA91" s="148"/>
      <c r="AB91" s="148"/>
      <c r="AC91" s="148"/>
      <c r="AD91" s="148"/>
      <c r="AE91" s="148"/>
      <c r="AF91" s="148"/>
      <c r="AG91" s="148"/>
      <c r="AH91" s="148"/>
      <c r="AI91" s="148"/>
      <c r="AJ91" s="148"/>
      <c r="AK91" s="148"/>
      <c r="AL91" s="148"/>
      <c r="AM91" s="148"/>
      <c r="AN91" s="148"/>
      <c r="AO91" s="148"/>
      <c r="AP91" s="148"/>
      <c r="AQ91" s="148"/>
      <c r="AR91" s="148"/>
      <c r="AZ91" s="160"/>
      <c r="BA91" s="161"/>
      <c r="BB91" s="160" t="s">
        <v>215</v>
      </c>
      <c r="BC91" s="161"/>
      <c r="BD91" s="160"/>
      <c r="BE91" s="161"/>
      <c r="BF91" s="160"/>
      <c r="BG91" s="161"/>
      <c r="BH91" s="160" t="s">
        <v>483</v>
      </c>
      <c r="BI91" s="161" t="s">
        <v>481</v>
      </c>
      <c r="BJ91" s="156" t="s">
        <v>434</v>
      </c>
    </row>
    <row r="92" ht="12.75" customHeight="1"/>
    <row r="94" spans="5:46" ht="16.5" customHeight="1">
      <c r="E94" s="148"/>
      <c r="F94" s="150" t="str">
        <f>IF(BK109=0,"１　貸付金の種別残高","１．貸付金の種別残高")</f>
        <v>１．貸付金の種別残高</v>
      </c>
      <c r="G94" s="148"/>
      <c r="H94" s="148"/>
      <c r="I94" s="148"/>
      <c r="J94" s="148"/>
      <c r="K94" s="148"/>
      <c r="L94" s="148"/>
      <c r="M94" s="148"/>
      <c r="N94" s="148"/>
      <c r="O94" s="148"/>
      <c r="P94" s="148"/>
      <c r="Q94" s="148"/>
      <c r="R94" s="148"/>
      <c r="S94" s="148"/>
      <c r="T94" s="148"/>
      <c r="U94" s="148"/>
      <c r="V94" s="148"/>
      <c r="W94" s="148"/>
      <c r="X94" s="148"/>
      <c r="Y94" s="148"/>
      <c r="Z94" s="148" t="s">
        <v>276</v>
      </c>
      <c r="AA94" s="148"/>
      <c r="AB94" s="148"/>
      <c r="AC94" s="148"/>
      <c r="AI94" s="148"/>
      <c r="AJ94" s="148"/>
      <c r="AK94" s="148"/>
      <c r="AL94" s="148"/>
      <c r="AM94" s="148"/>
      <c r="AN94" s="148"/>
      <c r="AO94" s="148"/>
      <c r="AP94" s="148"/>
      <c r="AQ94" s="148"/>
      <c r="AR94" s="148"/>
      <c r="AT94" s="163" t="str">
        <f>IF(BK109=0,"（表１）エラーなし","！（表１）エラー情報あり")</f>
        <v>！（表１）エラー情報あり</v>
      </c>
    </row>
    <row r="95" spans="5:44" ht="7.5" customHeight="1">
      <c r="E95" s="148"/>
      <c r="F95" s="148"/>
      <c r="G95" s="148"/>
      <c r="H95" s="148"/>
      <c r="I95" s="148"/>
      <c r="J95" s="148"/>
      <c r="K95" s="148"/>
      <c r="L95" s="148"/>
      <c r="M95" s="148"/>
      <c r="N95" s="148"/>
      <c r="O95" s="148"/>
      <c r="P95" s="148"/>
      <c r="Q95" s="204"/>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P95" s="204"/>
      <c r="AQ95" s="204"/>
      <c r="AR95" s="148"/>
    </row>
    <row r="96" spans="5:53" ht="16.5" customHeight="1" thickBot="1">
      <c r="E96" s="2"/>
      <c r="F96" s="646" t="s">
        <v>277</v>
      </c>
      <c r="G96" s="647"/>
      <c r="H96" s="647"/>
      <c r="I96" s="647"/>
      <c r="J96" s="647"/>
      <c r="K96" s="647"/>
      <c r="L96" s="647"/>
      <c r="M96" s="647"/>
      <c r="N96" s="647"/>
      <c r="O96" s="647"/>
      <c r="P96" s="647"/>
      <c r="Q96" s="294" t="s">
        <v>66</v>
      </c>
      <c r="R96" s="295"/>
      <c r="S96" s="295"/>
      <c r="T96" s="295"/>
      <c r="U96" s="295"/>
      <c r="V96" s="14"/>
      <c r="W96" s="14"/>
      <c r="X96" s="14"/>
      <c r="Y96" s="219" t="s">
        <v>215</v>
      </c>
      <c r="Z96" s="294" t="s">
        <v>213</v>
      </c>
      <c r="AA96" s="295"/>
      <c r="AB96" s="295"/>
      <c r="AC96" s="295"/>
      <c r="AD96" s="295"/>
      <c r="AE96" s="14"/>
      <c r="AF96" s="14"/>
      <c r="AG96" s="14"/>
      <c r="AH96" s="219"/>
      <c r="AI96" s="295" t="s">
        <v>214</v>
      </c>
      <c r="AJ96" s="295"/>
      <c r="AK96" s="295"/>
      <c r="AL96" s="295"/>
      <c r="AM96" s="296"/>
      <c r="AP96" s="204"/>
      <c r="AQ96" s="204"/>
      <c r="AR96" s="204"/>
      <c r="BA96" s="153"/>
    </row>
    <row r="97" spans="5:63" ht="16.5" customHeight="1" thickBot="1" thickTop="1">
      <c r="E97" s="204"/>
      <c r="F97" s="648"/>
      <c r="G97" s="649"/>
      <c r="H97" s="649"/>
      <c r="I97" s="649"/>
      <c r="J97" s="649"/>
      <c r="K97" s="649"/>
      <c r="L97" s="649"/>
      <c r="M97" s="649"/>
      <c r="N97" s="649"/>
      <c r="O97" s="649"/>
      <c r="P97" s="649"/>
      <c r="Q97" s="300"/>
      <c r="R97" s="301"/>
      <c r="S97" s="301"/>
      <c r="T97" s="301"/>
      <c r="U97" s="301"/>
      <c r="V97" s="283" t="s">
        <v>69</v>
      </c>
      <c r="W97" s="284"/>
      <c r="X97" s="284"/>
      <c r="Y97" s="425"/>
      <c r="Z97" s="300"/>
      <c r="AA97" s="301"/>
      <c r="AB97" s="301"/>
      <c r="AC97" s="301"/>
      <c r="AD97" s="331"/>
      <c r="AE97" s="284" t="s">
        <v>69</v>
      </c>
      <c r="AF97" s="284"/>
      <c r="AG97" s="284"/>
      <c r="AH97" s="425"/>
      <c r="AI97" s="301"/>
      <c r="AJ97" s="301"/>
      <c r="AK97" s="301"/>
      <c r="AL97" s="301"/>
      <c r="AM97" s="302"/>
      <c r="AR97" s="204"/>
      <c r="AZ97" s="277" t="s">
        <v>354</v>
      </c>
      <c r="BA97" s="277"/>
      <c r="BB97" s="277" t="s">
        <v>355</v>
      </c>
      <c r="BC97" s="277"/>
      <c r="BD97" s="277" t="s">
        <v>408</v>
      </c>
      <c r="BE97" s="277"/>
      <c r="BF97" s="277" t="s">
        <v>409</v>
      </c>
      <c r="BG97" s="277"/>
      <c r="BH97" s="277" t="s">
        <v>356</v>
      </c>
      <c r="BI97" s="277"/>
      <c r="BJ97" s="156"/>
      <c r="BK97" s="222" t="s">
        <v>485</v>
      </c>
    </row>
    <row r="98" spans="5:66" ht="16.5" customHeight="1" thickBot="1" thickTop="1">
      <c r="E98" s="204"/>
      <c r="F98" s="651" t="s">
        <v>70</v>
      </c>
      <c r="G98" s="652"/>
      <c r="H98" s="15"/>
      <c r="I98" s="657"/>
      <c r="J98" s="657"/>
      <c r="K98" s="657"/>
      <c r="L98" s="657"/>
      <c r="M98" s="657"/>
      <c r="N98" s="657"/>
      <c r="O98" s="657"/>
      <c r="P98" s="16"/>
      <c r="Q98" s="485" t="s">
        <v>71</v>
      </c>
      <c r="R98" s="486"/>
      <c r="S98" s="486"/>
      <c r="T98" s="486"/>
      <c r="U98" s="487"/>
      <c r="V98" s="463" t="s">
        <v>72</v>
      </c>
      <c r="W98" s="464"/>
      <c r="X98" s="464"/>
      <c r="Y98" s="465"/>
      <c r="Z98" s="328" t="str">
        <f>$X$393</f>
        <v>千円</v>
      </c>
      <c r="AA98" s="329"/>
      <c r="AB98" s="329"/>
      <c r="AC98" s="329"/>
      <c r="AD98" s="330"/>
      <c r="AE98" s="463" t="s">
        <v>6</v>
      </c>
      <c r="AF98" s="464"/>
      <c r="AG98" s="464"/>
      <c r="AH98" s="465"/>
      <c r="AI98" s="464" t="s">
        <v>73</v>
      </c>
      <c r="AJ98" s="464"/>
      <c r="AK98" s="464"/>
      <c r="AL98" s="464"/>
      <c r="AM98" s="465"/>
      <c r="AP98" s="204"/>
      <c r="AQ98" s="204"/>
      <c r="AR98" s="204"/>
      <c r="AS98" s="149" t="str">
        <f>BK98</f>
        <v>　　（↓エラー情報↓）</v>
      </c>
      <c r="AV98" s="155" t="s">
        <v>437</v>
      </c>
      <c r="AW98" s="155" t="s">
        <v>438</v>
      </c>
      <c r="AX98" s="155" t="s">
        <v>455</v>
      </c>
      <c r="AZ98" s="199" t="s">
        <v>410</v>
      </c>
      <c r="BA98" s="198" t="s">
        <v>353</v>
      </c>
      <c r="BB98" s="199" t="s">
        <v>410</v>
      </c>
      <c r="BC98" s="198" t="s">
        <v>353</v>
      </c>
      <c r="BD98" s="199" t="s">
        <v>410</v>
      </c>
      <c r="BE98" s="198" t="s">
        <v>353</v>
      </c>
      <c r="BF98" s="199" t="s">
        <v>410</v>
      </c>
      <c r="BG98" s="198" t="s">
        <v>353</v>
      </c>
      <c r="BH98" s="199" t="s">
        <v>410</v>
      </c>
      <c r="BI98" s="198" t="s">
        <v>353</v>
      </c>
      <c r="BJ98" s="159"/>
      <c r="BK98" s="221" t="str">
        <f>IF(BK97="表示","　　（↓エラー情報↓）","")</f>
        <v>　　（↓エラー情報↓）</v>
      </c>
      <c r="BL98" s="155" t="s">
        <v>427</v>
      </c>
      <c r="BM98" s="155" t="s">
        <v>296</v>
      </c>
      <c r="BN98" s="155" t="s">
        <v>426</v>
      </c>
    </row>
    <row r="99" spans="5:66" ht="24" customHeight="1">
      <c r="E99" s="204"/>
      <c r="F99" s="653"/>
      <c r="G99" s="654"/>
      <c r="H99" s="17"/>
      <c r="I99" s="311" t="s">
        <v>285</v>
      </c>
      <c r="J99" s="311"/>
      <c r="K99" s="311"/>
      <c r="L99" s="311"/>
      <c r="M99" s="311"/>
      <c r="N99" s="311"/>
      <c r="O99" s="311"/>
      <c r="P99" s="215"/>
      <c r="Q99" s="318" t="s">
        <v>504</v>
      </c>
      <c r="R99" s="319"/>
      <c r="S99" s="319"/>
      <c r="T99" s="319"/>
      <c r="U99" s="320"/>
      <c r="V99" s="297">
        <f aca="true" t="shared" si="0" ref="V99:V107">IF(OR(AV$108=0,AV99=0),0,ROUNDDOWN((Q99/Q$108),4)*100)</f>
        <v>0</v>
      </c>
      <c r="W99" s="298"/>
      <c r="X99" s="298"/>
      <c r="Y99" s="321"/>
      <c r="Z99" s="322" t="s">
        <v>504</v>
      </c>
      <c r="AA99" s="323"/>
      <c r="AB99" s="323"/>
      <c r="AC99" s="323"/>
      <c r="AD99" s="324"/>
      <c r="AE99" s="297">
        <f aca="true" t="shared" si="1" ref="AE99:AE107">IF(OR(AW$108=0,AW99=0),0,ROUNDDOWN((Z99/Z$108),4)*100)</f>
        <v>0</v>
      </c>
      <c r="AF99" s="298"/>
      <c r="AG99" s="298"/>
      <c r="AH99" s="321"/>
      <c r="AI99" s="325"/>
      <c r="AJ99" s="326"/>
      <c r="AK99" s="326"/>
      <c r="AL99" s="326"/>
      <c r="AM99" s="327"/>
      <c r="AO99" s="2"/>
      <c r="AP99" s="204"/>
      <c r="AQ99" s="204"/>
      <c r="AR99" s="204"/>
      <c r="AS99" s="149">
        <f aca="true" t="shared" si="2" ref="AS99:AS108">BK99</f>
      </c>
      <c r="AT99" s="166"/>
      <c r="AU99" s="166"/>
      <c r="AV99" s="226">
        <f>IF(Q99="-",0,Q99)</f>
        <v>0</v>
      </c>
      <c r="AW99" s="226">
        <f>IF(Z99="-",0,Z99)</f>
        <v>0</v>
      </c>
      <c r="AX99" s="226">
        <f>IF(AI99="-",0,AI99)</f>
        <v>0</v>
      </c>
      <c r="AY99" s="167">
        <v>1</v>
      </c>
      <c r="AZ99" s="168" t="str">
        <f>CONCATENATE(IF(OR(Q99="",Q99="-"),"無","有"),IF(OR(Z99="",Z99="-"),"無","有"),IF(OR(AI99="",AI99="-"),"無","有"))</f>
        <v>無無無</v>
      </c>
      <c r="BA99" s="169">
        <f>IF(ISNA(VLOOKUP(AZ99,AZ$75:BA$91,2,FALSE))=TRUE,"",VLOOKUP(AZ99,AZ$75:BA$91,2,FALSE))</f>
      </c>
      <c r="BB99" s="170" t="s">
        <v>376</v>
      </c>
      <c r="BC99" s="171"/>
      <c r="BD99" s="168" t="str">
        <f aca="true" t="shared" si="3" ref="BD99:BD108">IF(OR(AZ99="有有有",AZ99="有有無",AZ99="有有"),IF(AW99/AV99&gt;BL99,"高額","ok"),"-")</f>
        <v>-</v>
      </c>
      <c r="BE99" s="169">
        <f>IF(ISNA(VLOOKUP(BD99,BD$75:BE$91,2,FALSE))=TRUE,"",VLOOKUP(BD99,BD$75:BE$91,2,FALSE))</f>
      </c>
      <c r="BF99" s="168" t="str">
        <f>IF(OR(AI99="-",AI99=""),"-",IF(AI99&gt;109.5,"違法",IF(AND(40.004&lt;AI99,AI99&lt;=109.5),"高っ！","ok")))</f>
        <v>-</v>
      </c>
      <c r="BG99" s="169">
        <f>IF(ISNA(VLOOKUP(BF99,BF$75:BG$91,2,FALSE))=TRUE,"",VLOOKUP(BF99,BF$75:BG$91,2,FALSE))</f>
      </c>
      <c r="BH99" s="170" t="s">
        <v>377</v>
      </c>
      <c r="BI99" s="173"/>
      <c r="BJ99" s="156">
        <f>IF(AND(BA99="",BC99="",BE99="",BG99="",BI99=""),"","←")</f>
      </c>
      <c r="BK99" s="174">
        <f>IF(BK$97="表示",CONCATENATE(BJ99,BA99,BC99,BE99,BG99,BI99),"")</f>
      </c>
      <c r="BL99" s="225">
        <f aca="true" t="shared" si="4" ref="BL99:BL108">IF(Z$98="百万円",BM99,BN99)</f>
        <v>1000000000</v>
      </c>
      <c r="BM99" s="225">
        <v>1000000</v>
      </c>
      <c r="BN99" s="225">
        <v>1000000000</v>
      </c>
    </row>
    <row r="100" spans="5:66" ht="24" customHeight="1">
      <c r="E100" s="204"/>
      <c r="F100" s="653"/>
      <c r="G100" s="654"/>
      <c r="H100" s="205"/>
      <c r="I100" s="441" t="s">
        <v>286</v>
      </c>
      <c r="J100" s="441"/>
      <c r="K100" s="441"/>
      <c r="L100" s="441"/>
      <c r="M100" s="441"/>
      <c r="N100" s="441"/>
      <c r="O100" s="441"/>
      <c r="P100" s="203"/>
      <c r="Q100" s="480" t="s">
        <v>504</v>
      </c>
      <c r="R100" s="481"/>
      <c r="S100" s="481"/>
      <c r="T100" s="481"/>
      <c r="U100" s="482"/>
      <c r="V100" s="442">
        <f t="shared" si="0"/>
        <v>0</v>
      </c>
      <c r="W100" s="443"/>
      <c r="X100" s="443"/>
      <c r="Y100" s="444"/>
      <c r="Z100" s="460" t="s">
        <v>504</v>
      </c>
      <c r="AA100" s="461"/>
      <c r="AB100" s="461"/>
      <c r="AC100" s="461"/>
      <c r="AD100" s="462"/>
      <c r="AE100" s="442">
        <f t="shared" si="1"/>
        <v>0</v>
      </c>
      <c r="AF100" s="443"/>
      <c r="AG100" s="443"/>
      <c r="AH100" s="444"/>
      <c r="AI100" s="658"/>
      <c r="AJ100" s="659"/>
      <c r="AK100" s="659"/>
      <c r="AL100" s="659"/>
      <c r="AM100" s="660"/>
      <c r="AO100" s="2"/>
      <c r="AP100" s="204"/>
      <c r="AQ100" s="204"/>
      <c r="AR100" s="204"/>
      <c r="AS100" s="149">
        <f t="shared" si="2"/>
      </c>
      <c r="AT100" s="166"/>
      <c r="AU100" s="166"/>
      <c r="AV100" s="227">
        <f aca="true" t="shared" si="5" ref="AV100:AV108">IF(Q100="-",0,Q100)</f>
        <v>0</v>
      </c>
      <c r="AW100" s="227">
        <f aca="true" t="shared" si="6" ref="AW100:AW108">IF(Z100="-",0,Z100)</f>
        <v>0</v>
      </c>
      <c r="AX100" s="227">
        <f>IF(AI100="-",0,AI100)</f>
        <v>0</v>
      </c>
      <c r="AY100" s="167">
        <v>2</v>
      </c>
      <c r="AZ100" s="172" t="str">
        <f>CONCATENATE(IF(OR(Q100="",Q100="-"),"無","有"),IF(OR(Z100="",Z100="-"),"無","有"),IF(OR(AI100="",AI100="-"),"無","有"))</f>
        <v>無無無</v>
      </c>
      <c r="BA100" s="169">
        <f>IF(ISNA(VLOOKUP(AZ100,AZ$75:BA$91,2,FALSE))=TRUE,"",VLOOKUP(AZ100,AZ$75:BA$91,2,FALSE))</f>
      </c>
      <c r="BB100" s="175" t="s">
        <v>377</v>
      </c>
      <c r="BC100" s="176"/>
      <c r="BD100" s="172" t="str">
        <f t="shared" si="3"/>
        <v>-</v>
      </c>
      <c r="BE100" s="169">
        <f aca="true" t="shared" si="7" ref="BE100:BE108">IF(ISNA(VLOOKUP(BD100,BD$75:BE$91,2,FALSE))=TRUE,"",VLOOKUP(BD100,BD$75:BE$91,2,FALSE))</f>
      </c>
      <c r="BF100" s="172" t="str">
        <f>IF(OR(AI100="-",AI100=""),"-",IF(AI100&gt;109.5,"違法",IF(AND(40.004&lt;AI100,AI100&lt;=109.5),"高っ！","ok")))</f>
        <v>-</v>
      </c>
      <c r="BG100" s="169">
        <f aca="true" t="shared" si="8" ref="BG100:BG105">IF(ISNA(VLOOKUP(BF100,BF$75:BG$91,2,FALSE))=TRUE,"",VLOOKUP(BF100,BF$75:BG$91,2,FALSE))</f>
      </c>
      <c r="BH100" s="175" t="s">
        <v>377</v>
      </c>
      <c r="BI100" s="177"/>
      <c r="BJ100" s="156">
        <f aca="true" t="shared" si="9" ref="BJ100:BJ108">IF(AND(BA100="",BC100="",BE100="",BG100="",BI100=""),"","←")</f>
      </c>
      <c r="BK100" s="189">
        <f aca="true" t="shared" si="10" ref="BK100:BK108">IF(BK$97="表示",CONCATENATE(BJ100,BA100,BC100,BE100,BG100,BI100),"")</f>
      </c>
      <c r="BL100" s="225">
        <f t="shared" si="4"/>
        <v>1000000000</v>
      </c>
      <c r="BM100" s="225">
        <v>1000000</v>
      </c>
      <c r="BN100" s="225">
        <v>1000000000</v>
      </c>
    </row>
    <row r="101" spans="5:66" ht="24" customHeight="1" thickBot="1">
      <c r="E101" s="204"/>
      <c r="F101" s="653"/>
      <c r="G101" s="654"/>
      <c r="H101" s="18"/>
      <c r="I101" s="484" t="s">
        <v>287</v>
      </c>
      <c r="J101" s="484"/>
      <c r="K101" s="484"/>
      <c r="L101" s="484"/>
      <c r="M101" s="484"/>
      <c r="N101" s="484"/>
      <c r="O101" s="484"/>
      <c r="P101" s="19"/>
      <c r="Q101" s="480" t="s">
        <v>504</v>
      </c>
      <c r="R101" s="481"/>
      <c r="S101" s="481"/>
      <c r="T101" s="481"/>
      <c r="U101" s="482"/>
      <c r="V101" s="442">
        <f t="shared" si="0"/>
        <v>0</v>
      </c>
      <c r="W101" s="443"/>
      <c r="X101" s="443"/>
      <c r="Y101" s="444"/>
      <c r="Z101" s="460" t="s">
        <v>504</v>
      </c>
      <c r="AA101" s="461"/>
      <c r="AB101" s="461"/>
      <c r="AC101" s="461"/>
      <c r="AD101" s="462"/>
      <c r="AE101" s="442">
        <f t="shared" si="1"/>
        <v>0</v>
      </c>
      <c r="AF101" s="443"/>
      <c r="AG101" s="443"/>
      <c r="AH101" s="444"/>
      <c r="AI101" s="274"/>
      <c r="AJ101" s="275"/>
      <c r="AK101" s="275"/>
      <c r="AL101" s="275"/>
      <c r="AM101" s="276"/>
      <c r="AO101" s="2"/>
      <c r="AP101" s="3"/>
      <c r="AQ101" s="3"/>
      <c r="AR101" s="3"/>
      <c r="AS101" s="149">
        <f t="shared" si="2"/>
      </c>
      <c r="AT101" s="166"/>
      <c r="AU101" s="166"/>
      <c r="AV101" s="227">
        <f t="shared" si="5"/>
        <v>0</v>
      </c>
      <c r="AW101" s="227">
        <f t="shared" si="6"/>
        <v>0</v>
      </c>
      <c r="AX101" s="240">
        <f>IF(AI101="-",0,AI101)</f>
        <v>0</v>
      </c>
      <c r="AY101" s="167">
        <v>3</v>
      </c>
      <c r="AZ101" s="172" t="str">
        <f>CONCATENATE(IF(OR(Q101="",Q101="-"),"無","有"),IF(OR(Z101="",Z101="-"),"無","有"),IF(OR(AI101="",AI101="-"),"無","有"))</f>
        <v>無無無</v>
      </c>
      <c r="BA101" s="169">
        <f>IF(ISNA(VLOOKUP(AZ101,AZ$75:BA$91,2,FALSE))=TRUE,"",VLOOKUP(AZ101,AZ$75:BA$91,2,FALSE))</f>
      </c>
      <c r="BB101" s="175" t="s">
        <v>377</v>
      </c>
      <c r="BC101" s="176"/>
      <c r="BD101" s="172" t="str">
        <f t="shared" si="3"/>
        <v>-</v>
      </c>
      <c r="BE101" s="169">
        <f t="shared" si="7"/>
      </c>
      <c r="BF101" s="172" t="str">
        <f>IF(OR(AI101="-",AI101=""),"-",IF(AI101&gt;109.5,"違法",IF(AND(40.004&lt;AI101,AI101&lt;=109.5),"高っ！","ok")))</f>
        <v>-</v>
      </c>
      <c r="BG101" s="169">
        <f t="shared" si="8"/>
      </c>
      <c r="BH101" s="175" t="s">
        <v>377</v>
      </c>
      <c r="BI101" s="177"/>
      <c r="BJ101" s="156">
        <f t="shared" si="9"/>
      </c>
      <c r="BK101" s="189">
        <f t="shared" si="10"/>
      </c>
      <c r="BL101" s="225">
        <f t="shared" si="4"/>
        <v>1000000000</v>
      </c>
      <c r="BM101" s="225">
        <v>1000000</v>
      </c>
      <c r="BN101" s="225">
        <v>1000000000</v>
      </c>
    </row>
    <row r="102" spans="5:66" ht="24" customHeight="1" thickBot="1">
      <c r="E102" s="204"/>
      <c r="F102" s="655"/>
      <c r="G102" s="656"/>
      <c r="H102" s="20"/>
      <c r="I102" s="284" t="s">
        <v>74</v>
      </c>
      <c r="J102" s="284"/>
      <c r="K102" s="284"/>
      <c r="L102" s="284"/>
      <c r="M102" s="284"/>
      <c r="N102" s="284"/>
      <c r="O102" s="284"/>
      <c r="P102" s="21"/>
      <c r="Q102" s="495">
        <f>SUM(Q99:U101)</f>
        <v>0</v>
      </c>
      <c r="R102" s="496"/>
      <c r="S102" s="496"/>
      <c r="T102" s="496"/>
      <c r="U102" s="497"/>
      <c r="V102" s="527">
        <f t="shared" si="0"/>
        <v>0</v>
      </c>
      <c r="W102" s="528"/>
      <c r="X102" s="528"/>
      <c r="Y102" s="535"/>
      <c r="Z102" s="457" t="s">
        <v>504</v>
      </c>
      <c r="AA102" s="458"/>
      <c r="AB102" s="458"/>
      <c r="AC102" s="458"/>
      <c r="AD102" s="459"/>
      <c r="AE102" s="527">
        <f t="shared" si="1"/>
        <v>0</v>
      </c>
      <c r="AF102" s="528"/>
      <c r="AG102" s="528"/>
      <c r="AH102" s="661"/>
      <c r="AI102" s="451">
        <f>ROUNDDOWN(IF(AW102=0,0,(AW99*AX99+AW100*AX100+AW101*AX101)/AW102),2)</f>
        <v>0</v>
      </c>
      <c r="AJ102" s="452"/>
      <c r="AK102" s="452"/>
      <c r="AL102" s="452"/>
      <c r="AM102" s="453"/>
      <c r="AO102" s="145"/>
      <c r="AP102" s="68"/>
      <c r="AQ102" s="68"/>
      <c r="AR102" s="68"/>
      <c r="AS102" s="149" t="str">
        <f t="shared" si="2"/>
        <v>←残高が未記入。</v>
      </c>
      <c r="AT102" s="166"/>
      <c r="AU102" s="166"/>
      <c r="AV102" s="228">
        <f t="shared" si="5"/>
        <v>0</v>
      </c>
      <c r="AW102" s="228">
        <f t="shared" si="6"/>
        <v>0</v>
      </c>
      <c r="AX102" s="238"/>
      <c r="AY102" s="167">
        <v>4</v>
      </c>
      <c r="AZ102" s="172" t="str">
        <f>CONCATENATE(IF(OR(Q102="",Q102="-"),"無","有"),IF(OR(Z102="",Z102="-"),"無","有"))</f>
        <v>有無</v>
      </c>
      <c r="BA102" s="169" t="str">
        <f>IF(ISNA(VLOOKUP(AZ102,AZ$75:BA$91,2,FALSE))=TRUE,"",VLOOKUP(AZ102,AZ$75:BA$91,2,FALSE))</f>
        <v>残高が未記入。</v>
      </c>
      <c r="BB102" s="172" t="str">
        <f>CONCATENATE(IF(AV102=SUM(AV99:AV101),"合","不"),IF(AND(SUM(AW99:AW101)&lt;=AW102,AW102&lt;=(SUM(AW99:AW101)+3)),"合","不"))</f>
        <v>合合</v>
      </c>
      <c r="BC102" s="178">
        <f>IF(ISNA(VLOOKUP(BB102,BB$75:BC$91,2,FALSE))=TRUE,"",VLOOKUP(BB102,BB$75:BC$91,2,FALSE))</f>
      </c>
      <c r="BD102" s="172" t="str">
        <f t="shared" si="3"/>
        <v>-</v>
      </c>
      <c r="BE102" s="169">
        <f t="shared" si="7"/>
      </c>
      <c r="BF102" s="175" t="s">
        <v>377</v>
      </c>
      <c r="BG102" s="176"/>
      <c r="BH102" s="175" t="s">
        <v>276</v>
      </c>
      <c r="BI102" s="177"/>
      <c r="BJ102" s="156" t="str">
        <f t="shared" si="9"/>
        <v>←</v>
      </c>
      <c r="BK102" s="189" t="str">
        <f t="shared" si="10"/>
        <v>←残高が未記入。</v>
      </c>
      <c r="BL102" s="225">
        <f t="shared" si="4"/>
        <v>1000000000</v>
      </c>
      <c r="BM102" s="225">
        <v>1000000</v>
      </c>
      <c r="BN102" s="225">
        <v>1000000000</v>
      </c>
    </row>
    <row r="103" spans="5:66" ht="24" customHeight="1">
      <c r="E103" s="204"/>
      <c r="F103" s="332" t="s">
        <v>282</v>
      </c>
      <c r="G103" s="333"/>
      <c r="H103" s="498" t="s">
        <v>288</v>
      </c>
      <c r="I103" s="499"/>
      <c r="J103" s="499"/>
      <c r="K103" s="499"/>
      <c r="L103" s="499"/>
      <c r="M103" s="499"/>
      <c r="N103" s="499"/>
      <c r="O103" s="499"/>
      <c r="P103" s="499"/>
      <c r="Q103" s="473" t="s">
        <v>523</v>
      </c>
      <c r="R103" s="474"/>
      <c r="S103" s="474"/>
      <c r="T103" s="474"/>
      <c r="U103" s="475"/>
      <c r="V103" s="470">
        <f t="shared" si="0"/>
        <v>0</v>
      </c>
      <c r="W103" s="471"/>
      <c r="X103" s="471"/>
      <c r="Y103" s="472"/>
      <c r="Z103" s="642" t="s">
        <v>523</v>
      </c>
      <c r="AA103" s="643"/>
      <c r="AB103" s="643"/>
      <c r="AC103" s="643"/>
      <c r="AD103" s="644"/>
      <c r="AE103" s="470">
        <f t="shared" si="1"/>
        <v>0</v>
      </c>
      <c r="AF103" s="471"/>
      <c r="AG103" s="471"/>
      <c r="AH103" s="472"/>
      <c r="AI103" s="325"/>
      <c r="AJ103" s="326"/>
      <c r="AK103" s="326"/>
      <c r="AL103" s="326"/>
      <c r="AM103" s="327"/>
      <c r="AO103" s="146"/>
      <c r="AP103" s="204"/>
      <c r="AQ103" s="204"/>
      <c r="AR103" s="204"/>
      <c r="AS103" s="149">
        <f t="shared" si="2"/>
      </c>
      <c r="AT103" s="166"/>
      <c r="AU103" s="166"/>
      <c r="AV103" s="229">
        <f t="shared" si="5"/>
        <v>0</v>
      </c>
      <c r="AW103" s="229">
        <f t="shared" si="6"/>
        <v>0</v>
      </c>
      <c r="AX103" s="226">
        <f>IF(AI103="-",0,AI103)</f>
        <v>0</v>
      </c>
      <c r="AY103" s="167">
        <v>5</v>
      </c>
      <c r="AZ103" s="172" t="str">
        <f>CONCATENATE(IF(OR(Q103="",Q103="-"),"無","有"),IF(OR(Z103="",Z103="-"),"無","有"),IF(OR(AI103="",AI103="-"),"無","有"))</f>
        <v>無無無</v>
      </c>
      <c r="BA103" s="169">
        <f aca="true" t="shared" si="11" ref="BA103:BA108">IF(ISNA(VLOOKUP(AZ103,AZ$75:BA$91,2,FALSE))=TRUE,"",VLOOKUP(AZ103,AZ$75:BA$91,2,FALSE))</f>
      </c>
      <c r="BB103" s="175" t="s">
        <v>377</v>
      </c>
      <c r="BC103" s="176"/>
      <c r="BD103" s="172" t="str">
        <f t="shared" si="3"/>
        <v>-</v>
      </c>
      <c r="BE103" s="169">
        <f t="shared" si="7"/>
      </c>
      <c r="BF103" s="172" t="str">
        <f>IF(OR(AI103="-",AI103=""),"-",IF(AI103&gt;109.5,"違法",IF(AND(40.004&lt;AI103,AI103&lt;=109.5),"高っ！","ok")))</f>
        <v>-</v>
      </c>
      <c r="BG103" s="169">
        <f t="shared" si="8"/>
      </c>
      <c r="BH103" s="175" t="s">
        <v>377</v>
      </c>
      <c r="BI103" s="177"/>
      <c r="BJ103" s="156">
        <f t="shared" si="9"/>
      </c>
      <c r="BK103" s="189">
        <f t="shared" si="10"/>
      </c>
      <c r="BL103" s="225">
        <f t="shared" si="4"/>
        <v>1000000000</v>
      </c>
      <c r="BM103" s="225">
        <v>1000000</v>
      </c>
      <c r="BN103" s="225">
        <v>1000000000</v>
      </c>
    </row>
    <row r="104" spans="5:66" ht="24" customHeight="1">
      <c r="E104" s="204"/>
      <c r="F104" s="334"/>
      <c r="G104" s="335"/>
      <c r="H104" s="468" t="s">
        <v>289</v>
      </c>
      <c r="I104" s="469"/>
      <c r="J104" s="469"/>
      <c r="K104" s="469"/>
      <c r="L104" s="469"/>
      <c r="M104" s="469"/>
      <c r="N104" s="469"/>
      <c r="O104" s="469"/>
      <c r="P104" s="469"/>
      <c r="Q104" s="480" t="s">
        <v>504</v>
      </c>
      <c r="R104" s="481"/>
      <c r="S104" s="481"/>
      <c r="T104" s="481"/>
      <c r="U104" s="482"/>
      <c r="V104" s="442">
        <f t="shared" si="0"/>
        <v>0</v>
      </c>
      <c r="W104" s="443"/>
      <c r="X104" s="443"/>
      <c r="Y104" s="444"/>
      <c r="Z104" s="460" t="s">
        <v>504</v>
      </c>
      <c r="AA104" s="461"/>
      <c r="AB104" s="461"/>
      <c r="AC104" s="461"/>
      <c r="AD104" s="462"/>
      <c r="AE104" s="442">
        <f t="shared" si="1"/>
        <v>0</v>
      </c>
      <c r="AF104" s="443"/>
      <c r="AG104" s="443"/>
      <c r="AH104" s="444"/>
      <c r="AI104" s="658"/>
      <c r="AJ104" s="659"/>
      <c r="AK104" s="659"/>
      <c r="AL104" s="659"/>
      <c r="AM104" s="660"/>
      <c r="AO104" s="146"/>
      <c r="AP104" s="204"/>
      <c r="AQ104" s="204"/>
      <c r="AR104" s="204"/>
      <c r="AS104" s="149">
        <f t="shared" si="2"/>
      </c>
      <c r="AT104" s="166"/>
      <c r="AU104" s="166"/>
      <c r="AV104" s="227">
        <f t="shared" si="5"/>
        <v>0</v>
      </c>
      <c r="AW104" s="227">
        <f t="shared" si="6"/>
        <v>0</v>
      </c>
      <c r="AX104" s="227">
        <f>IF(AI104="-",0,AI104)</f>
        <v>0</v>
      </c>
      <c r="AY104" s="167">
        <v>6</v>
      </c>
      <c r="AZ104" s="172" t="str">
        <f>CONCATENATE(IF(OR(Q104="",Q104="-"),"無","有"),IF(OR(Z104="",Z104="-"),"無","有"),IF(OR(AI104="",AI104="-"),"無","有"))</f>
        <v>無無無</v>
      </c>
      <c r="BA104" s="169">
        <f t="shared" si="11"/>
      </c>
      <c r="BB104" s="175" t="s">
        <v>377</v>
      </c>
      <c r="BC104" s="176"/>
      <c r="BD104" s="172" t="str">
        <f t="shared" si="3"/>
        <v>-</v>
      </c>
      <c r="BE104" s="169">
        <f t="shared" si="7"/>
      </c>
      <c r="BF104" s="172" t="str">
        <f>IF(OR(AI104="-",AI104=""),"-",IF(AI104&gt;109.5,"違法",IF(AND(40.004&lt;AI104,AI104&lt;=109.5),"高っ！","ok")))</f>
        <v>-</v>
      </c>
      <c r="BG104" s="169">
        <f t="shared" si="8"/>
      </c>
      <c r="BH104" s="175" t="s">
        <v>377</v>
      </c>
      <c r="BI104" s="177"/>
      <c r="BJ104" s="156">
        <f t="shared" si="9"/>
      </c>
      <c r="BK104" s="189">
        <f t="shared" si="10"/>
      </c>
      <c r="BL104" s="225">
        <f t="shared" si="4"/>
        <v>1000000000</v>
      </c>
      <c r="BM104" s="225">
        <v>1000000</v>
      </c>
      <c r="BN104" s="225">
        <v>1000000000</v>
      </c>
    </row>
    <row r="105" spans="5:66" ht="24" customHeight="1">
      <c r="E105" s="204"/>
      <c r="F105" s="334"/>
      <c r="G105" s="335"/>
      <c r="H105" s="468" t="s">
        <v>283</v>
      </c>
      <c r="I105" s="469"/>
      <c r="J105" s="469"/>
      <c r="K105" s="469"/>
      <c r="L105" s="469"/>
      <c r="M105" s="469"/>
      <c r="N105" s="469"/>
      <c r="O105" s="469"/>
      <c r="P105" s="469"/>
      <c r="Q105" s="480" t="s">
        <v>504</v>
      </c>
      <c r="R105" s="481"/>
      <c r="S105" s="481"/>
      <c r="T105" s="481"/>
      <c r="U105" s="482"/>
      <c r="V105" s="442">
        <f t="shared" si="0"/>
        <v>0</v>
      </c>
      <c r="W105" s="443"/>
      <c r="X105" s="443"/>
      <c r="Y105" s="444"/>
      <c r="Z105" s="460" t="s">
        <v>504</v>
      </c>
      <c r="AA105" s="461"/>
      <c r="AB105" s="461"/>
      <c r="AC105" s="461"/>
      <c r="AD105" s="462"/>
      <c r="AE105" s="442">
        <f t="shared" si="1"/>
        <v>0</v>
      </c>
      <c r="AF105" s="443"/>
      <c r="AG105" s="443"/>
      <c r="AH105" s="444"/>
      <c r="AI105" s="658"/>
      <c r="AJ105" s="659"/>
      <c r="AK105" s="659"/>
      <c r="AL105" s="659"/>
      <c r="AM105" s="660"/>
      <c r="AO105" s="146"/>
      <c r="AP105" s="204"/>
      <c r="AQ105" s="204"/>
      <c r="AR105" s="204"/>
      <c r="AS105" s="149">
        <f t="shared" si="2"/>
      </c>
      <c r="AT105" s="166"/>
      <c r="AU105" s="166"/>
      <c r="AV105" s="227">
        <f t="shared" si="5"/>
        <v>0</v>
      </c>
      <c r="AW105" s="227">
        <f t="shared" si="6"/>
        <v>0</v>
      </c>
      <c r="AX105" s="227">
        <f>IF(AI105="-",0,AI105)</f>
        <v>0</v>
      </c>
      <c r="AY105" s="167">
        <v>7</v>
      </c>
      <c r="AZ105" s="172" t="str">
        <f>CONCATENATE(IF(OR(Q105="",Q105="-"),"無","有"),IF(OR(Z105="",Z105="-"),"無","有"),IF(OR(AI105="",AI105="-"),"無","有"))</f>
        <v>無無無</v>
      </c>
      <c r="BA105" s="169">
        <f t="shared" si="11"/>
      </c>
      <c r="BB105" s="175" t="s">
        <v>276</v>
      </c>
      <c r="BC105" s="176"/>
      <c r="BD105" s="172" t="str">
        <f t="shared" si="3"/>
        <v>-</v>
      </c>
      <c r="BE105" s="169">
        <f t="shared" si="7"/>
      </c>
      <c r="BF105" s="172" t="str">
        <f>IF(OR(AI105="-",AI105=""),"-",IF(AI105&gt;109.5,"違法",IF(AND(40.004&lt;AI105,AI105&lt;=109.5),"高っ！","ok")))</f>
        <v>-</v>
      </c>
      <c r="BG105" s="169">
        <f t="shared" si="8"/>
      </c>
      <c r="BH105" s="175" t="s">
        <v>377</v>
      </c>
      <c r="BI105" s="177"/>
      <c r="BJ105" s="156">
        <f t="shared" si="9"/>
      </c>
      <c r="BK105" s="189">
        <f t="shared" si="10"/>
      </c>
      <c r="BL105" s="225">
        <f t="shared" si="4"/>
        <v>1000000000</v>
      </c>
      <c r="BM105" s="225">
        <v>1000000</v>
      </c>
      <c r="BN105" s="225">
        <v>1000000000</v>
      </c>
    </row>
    <row r="106" spans="5:66" ht="24" customHeight="1" thickBot="1">
      <c r="E106" s="204"/>
      <c r="F106" s="334"/>
      <c r="G106" s="335"/>
      <c r="H106" s="468" t="s">
        <v>284</v>
      </c>
      <c r="I106" s="469"/>
      <c r="J106" s="469"/>
      <c r="K106" s="469"/>
      <c r="L106" s="469"/>
      <c r="M106" s="469"/>
      <c r="N106" s="469"/>
      <c r="O106" s="469"/>
      <c r="P106" s="469"/>
      <c r="Q106" s="480" t="s">
        <v>504</v>
      </c>
      <c r="R106" s="481"/>
      <c r="S106" s="481"/>
      <c r="T106" s="481"/>
      <c r="U106" s="482"/>
      <c r="V106" s="442">
        <f t="shared" si="0"/>
        <v>0</v>
      </c>
      <c r="W106" s="443"/>
      <c r="X106" s="443"/>
      <c r="Y106" s="444"/>
      <c r="Z106" s="460" t="s">
        <v>504</v>
      </c>
      <c r="AA106" s="461"/>
      <c r="AB106" s="461"/>
      <c r="AC106" s="461"/>
      <c r="AD106" s="462"/>
      <c r="AE106" s="442">
        <f t="shared" si="1"/>
        <v>0</v>
      </c>
      <c r="AF106" s="443"/>
      <c r="AG106" s="443"/>
      <c r="AH106" s="444"/>
      <c r="AI106" s="274"/>
      <c r="AJ106" s="275"/>
      <c r="AK106" s="275"/>
      <c r="AL106" s="275"/>
      <c r="AM106" s="276"/>
      <c r="AO106" s="146"/>
      <c r="AP106" s="204"/>
      <c r="AQ106" s="204"/>
      <c r="AR106" s="204"/>
      <c r="AS106" s="149">
        <f t="shared" si="2"/>
      </c>
      <c r="AT106" s="166"/>
      <c r="AU106" s="166"/>
      <c r="AV106" s="227">
        <f t="shared" si="5"/>
        <v>0</v>
      </c>
      <c r="AW106" s="227">
        <f t="shared" si="6"/>
        <v>0</v>
      </c>
      <c r="AX106" s="240">
        <f>IF(AI106="-",0,AI106)</f>
        <v>0</v>
      </c>
      <c r="AY106" s="167">
        <v>8</v>
      </c>
      <c r="AZ106" s="172" t="str">
        <f>CONCATENATE(IF(OR(Q106="",Q106="-"),"無","有"),IF(OR(Z106="",Z106="-"),"無","有"),IF(OR(AI106="",AI106="-"),"無","有"))</f>
        <v>無無無</v>
      </c>
      <c r="BA106" s="169">
        <f t="shared" si="11"/>
      </c>
      <c r="BB106" s="175" t="s">
        <v>377</v>
      </c>
      <c r="BC106" s="176"/>
      <c r="BD106" s="172" t="str">
        <f t="shared" si="3"/>
        <v>-</v>
      </c>
      <c r="BE106" s="169">
        <f t="shared" si="7"/>
      </c>
      <c r="BF106" s="172" t="str">
        <f>IF(OR(AI106="-",AI106=""),"-",IF(AI106&gt;109.5,"違法",IF(AND(40.004&lt;AI106,AI106&lt;=109.5),"高っ！","ok")))</f>
        <v>-</v>
      </c>
      <c r="BG106" s="169">
        <f>IF(ISNA(VLOOKUP(BF106,BF$75:BG$91,2,FALSE))=TRUE,"",VLOOKUP(BF106,BF$75:BG$91,2,FALSE))</f>
      </c>
      <c r="BH106" s="175" t="s">
        <v>276</v>
      </c>
      <c r="BI106" s="177"/>
      <c r="BJ106" s="156">
        <f t="shared" si="9"/>
      </c>
      <c r="BK106" s="189">
        <f t="shared" si="10"/>
      </c>
      <c r="BL106" s="225">
        <f t="shared" si="4"/>
        <v>1000000000</v>
      </c>
      <c r="BM106" s="225">
        <v>1000000</v>
      </c>
      <c r="BN106" s="225">
        <v>1000000000</v>
      </c>
    </row>
    <row r="107" spans="5:66" ht="24" customHeight="1">
      <c r="E107" s="204"/>
      <c r="F107" s="336"/>
      <c r="G107" s="337"/>
      <c r="H107" s="214"/>
      <c r="I107" s="301" t="s">
        <v>74</v>
      </c>
      <c r="J107" s="301"/>
      <c r="K107" s="301"/>
      <c r="L107" s="301"/>
      <c r="M107" s="301"/>
      <c r="N107" s="301"/>
      <c r="O107" s="301"/>
      <c r="P107" s="214"/>
      <c r="Q107" s="495">
        <f>SUM(Q103:U106)</f>
        <v>0</v>
      </c>
      <c r="R107" s="496"/>
      <c r="S107" s="496"/>
      <c r="T107" s="496"/>
      <c r="U107" s="497"/>
      <c r="V107" s="527">
        <f t="shared" si="0"/>
        <v>0</v>
      </c>
      <c r="W107" s="528"/>
      <c r="X107" s="528"/>
      <c r="Y107" s="535"/>
      <c r="Z107" s="457" t="s">
        <v>504</v>
      </c>
      <c r="AA107" s="458"/>
      <c r="AB107" s="458"/>
      <c r="AC107" s="458"/>
      <c r="AD107" s="459"/>
      <c r="AE107" s="527">
        <f t="shared" si="1"/>
        <v>0</v>
      </c>
      <c r="AF107" s="528"/>
      <c r="AG107" s="528"/>
      <c r="AH107" s="661"/>
      <c r="AI107" s="637">
        <f>ROUNDDOWN(IF(AW107=0,0,(AW103*AX103+AW104*AX104+AW105*AX105+AW106*AX106)/AW107),2)</f>
        <v>0</v>
      </c>
      <c r="AJ107" s="638"/>
      <c r="AK107" s="638"/>
      <c r="AL107" s="638"/>
      <c r="AM107" s="639"/>
      <c r="AO107" s="146"/>
      <c r="AP107" s="204"/>
      <c r="AQ107" s="204"/>
      <c r="AR107" s="204"/>
      <c r="AS107" s="149" t="str">
        <f t="shared" si="2"/>
        <v>←残高が未記入。</v>
      </c>
      <c r="AT107" s="166"/>
      <c r="AU107" s="166"/>
      <c r="AV107" s="228">
        <f t="shared" si="5"/>
        <v>0</v>
      </c>
      <c r="AW107" s="228">
        <f t="shared" si="6"/>
        <v>0</v>
      </c>
      <c r="AX107" s="239"/>
      <c r="AY107" s="167">
        <v>9</v>
      </c>
      <c r="AZ107" s="172" t="str">
        <f>CONCATENATE(IF(OR(Q107="",Q107="-"),"無","有"),IF(OR(Z107="",Z107="-"),"無","有"))</f>
        <v>有無</v>
      </c>
      <c r="BA107" s="169" t="str">
        <f>IF(ISNA(VLOOKUP(AZ107,AZ$75:BA$91,2,FALSE))=TRUE,"",VLOOKUP(AZ107,AZ$75:BA$91,2,FALSE))</f>
        <v>残高が未記入。</v>
      </c>
      <c r="BB107" s="172" t="str">
        <f>CONCATENATE(IF(AV107=SUM(AV103:AV106),"合","不"),IF(AND(SUM(AW103:AW106)&lt;=AW107,AW107&lt;=(SUM(AW103:AW106)+4)),"合","不"))</f>
        <v>合合</v>
      </c>
      <c r="BC107" s="178">
        <f>IF(ISNA(VLOOKUP(BB107,BB$75:BC$91,2,FALSE))=TRUE,"",VLOOKUP(BB107,BB$75:BC$91,2,FALSE))</f>
      </c>
      <c r="BD107" s="172" t="str">
        <f t="shared" si="3"/>
        <v>-</v>
      </c>
      <c r="BE107" s="169">
        <f t="shared" si="7"/>
      </c>
      <c r="BF107" s="175" t="s">
        <v>276</v>
      </c>
      <c r="BG107" s="176"/>
      <c r="BH107" s="175" t="s">
        <v>276</v>
      </c>
      <c r="BI107" s="177"/>
      <c r="BJ107" s="156" t="str">
        <f t="shared" si="9"/>
        <v>←</v>
      </c>
      <c r="BK107" s="189" t="str">
        <f t="shared" si="10"/>
        <v>←残高が未記入。</v>
      </c>
      <c r="BL107" s="225">
        <f t="shared" si="4"/>
        <v>1000000000</v>
      </c>
      <c r="BM107" s="225">
        <v>1000000</v>
      </c>
      <c r="BN107" s="225">
        <v>1000000000</v>
      </c>
    </row>
    <row r="108" spans="5:66" ht="24" customHeight="1" thickBot="1">
      <c r="E108" s="204"/>
      <c r="F108" s="281" t="s">
        <v>75</v>
      </c>
      <c r="G108" s="282"/>
      <c r="H108" s="282"/>
      <c r="I108" s="282"/>
      <c r="J108" s="282"/>
      <c r="K108" s="282"/>
      <c r="L108" s="282"/>
      <c r="M108" s="282"/>
      <c r="N108" s="282"/>
      <c r="O108" s="282"/>
      <c r="P108" s="282"/>
      <c r="Q108" s="492">
        <f>Q107+Q102</f>
        <v>0</v>
      </c>
      <c r="R108" s="493"/>
      <c r="S108" s="493"/>
      <c r="T108" s="493"/>
      <c r="U108" s="494"/>
      <c r="V108" s="312">
        <v>100</v>
      </c>
      <c r="W108" s="312"/>
      <c r="X108" s="312"/>
      <c r="Y108" s="312"/>
      <c r="Z108" s="454" t="s">
        <v>525</v>
      </c>
      <c r="AA108" s="455"/>
      <c r="AB108" s="455"/>
      <c r="AC108" s="455"/>
      <c r="AD108" s="456"/>
      <c r="AE108" s="312">
        <v>100</v>
      </c>
      <c r="AF108" s="312"/>
      <c r="AG108" s="312"/>
      <c r="AH108" s="312"/>
      <c r="AI108" s="636">
        <f>ROUNDDOWN(IF(AW108=0,0,(AW99*AX99+AW100*AX100+AW101*AX101+AW103*AX103+AW104*AX104+AW105*AX105+AW106*AX106)/AW108),2)</f>
        <v>0</v>
      </c>
      <c r="AJ108" s="312"/>
      <c r="AK108" s="312"/>
      <c r="AL108" s="312"/>
      <c r="AM108" s="526"/>
      <c r="AO108" s="146"/>
      <c r="AP108" s="204"/>
      <c r="AQ108" s="204"/>
      <c r="AR108" s="204"/>
      <c r="AS108" s="149" t="str">
        <f t="shared" si="2"/>
        <v>←残高が未記入。</v>
      </c>
      <c r="AT108" s="166"/>
      <c r="AU108" s="166"/>
      <c r="AV108" s="230">
        <f t="shared" si="5"/>
        <v>0</v>
      </c>
      <c r="AW108" s="230">
        <f t="shared" si="6"/>
        <v>0</v>
      </c>
      <c r="AX108" s="237"/>
      <c r="AY108" s="167">
        <v>10</v>
      </c>
      <c r="AZ108" s="179" t="str">
        <f>CONCATENATE(IF(OR(Q108="",Q108="-"),"無","有"),IF(OR(Z108="",Z108="-"),"無","有"))</f>
        <v>有無</v>
      </c>
      <c r="BA108" s="169" t="str">
        <f t="shared" si="11"/>
        <v>残高が未記入。</v>
      </c>
      <c r="BB108" s="179" t="str">
        <f>CONCATENATE(IF(AV108=SUM(AV99:AV101,AV103:AV106),"合","不"),IF(AND(SUM(AW99:AW101,AW103:AW106)&lt;=AW108,AW108&lt;=(SUM(AW99:AW101,AW103:AW106)+7)),"合","不"))</f>
        <v>合合</v>
      </c>
      <c r="BC108" s="178">
        <f>IF(ISNA(VLOOKUP(BB108,BB$75:BC$91,2,FALSE))=TRUE,"",VLOOKUP(BB108,BB$75:BC$91,2,FALSE))</f>
      </c>
      <c r="BD108" s="179" t="str">
        <f t="shared" si="3"/>
        <v>-</v>
      </c>
      <c r="BE108" s="169">
        <f t="shared" si="7"/>
      </c>
      <c r="BF108" s="180" t="s">
        <v>276</v>
      </c>
      <c r="BG108" s="176"/>
      <c r="BH108" s="180" t="s">
        <v>377</v>
      </c>
      <c r="BI108" s="177"/>
      <c r="BJ108" s="156" t="str">
        <f t="shared" si="9"/>
        <v>←</v>
      </c>
      <c r="BK108" s="220" t="str">
        <f t="shared" si="10"/>
        <v>←残高が未記入。</v>
      </c>
      <c r="BL108" s="225">
        <f t="shared" si="4"/>
        <v>1000000000</v>
      </c>
      <c r="BM108" s="225">
        <v>1000000</v>
      </c>
      <c r="BN108" s="225">
        <v>1000000000</v>
      </c>
    </row>
    <row r="109" spans="5:63" ht="16.5" customHeight="1" thickBot="1">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204"/>
      <c r="AB109" s="148"/>
      <c r="AC109" s="148"/>
      <c r="AD109" s="148"/>
      <c r="AE109" s="148"/>
      <c r="AF109" s="148"/>
      <c r="AG109" s="148"/>
      <c r="AH109" s="148"/>
      <c r="AI109" s="148"/>
      <c r="AJ109" s="148"/>
      <c r="AK109" s="148"/>
      <c r="AL109" s="148"/>
      <c r="AM109" s="148"/>
      <c r="AN109" s="148" t="s">
        <v>211</v>
      </c>
      <c r="AO109" s="148"/>
      <c r="AP109" s="148"/>
      <c r="AQ109" s="148"/>
      <c r="AR109" s="148"/>
      <c r="AZ109" s="164">
        <f>COUNTIF(AZ99:AZ108,"無無無")+COUNTIF(AZ99:AZ108,"無無")</f>
        <v>7</v>
      </c>
      <c r="BA109" s="197">
        <f>IF(AZ109=AY108,"｢該当なし」","")</f>
      </c>
      <c r="BB109" s="155"/>
      <c r="BC109" s="155"/>
      <c r="BD109" s="155"/>
      <c r="BF109" s="181" t="s">
        <v>424</v>
      </c>
      <c r="BG109" s="164">
        <f>(4*AY108)-(COUNTIF(BA99:BA108,"")+COUNTIF(BC99:BC108,"")+COUNTIF(BE99:BE108,"")+COUNTIF(BG99:BG108,""))</f>
        <v>3</v>
      </c>
      <c r="BH109" s="153"/>
      <c r="BI109" s="153"/>
      <c r="BJ109" s="181" t="s">
        <v>425</v>
      </c>
      <c r="BK109" s="164">
        <f>AY108-COUNTIF(BJ99:BJ108,"")</f>
        <v>3</v>
      </c>
    </row>
    <row r="110" spans="5:44" ht="16.5" customHeight="1">
      <c r="E110" s="204"/>
      <c r="F110" s="204" t="s">
        <v>55</v>
      </c>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t="s">
        <v>211</v>
      </c>
      <c r="AO110" s="204"/>
      <c r="AP110" s="204"/>
      <c r="AQ110" s="204"/>
      <c r="AR110" s="204"/>
    </row>
    <row r="111" spans="5:44" ht="15" customHeight="1">
      <c r="E111" s="204"/>
      <c r="F111" s="204"/>
      <c r="G111" s="9" t="s">
        <v>212</v>
      </c>
      <c r="H111" s="280" t="s">
        <v>300</v>
      </c>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40"/>
      <c r="AO111" s="204"/>
      <c r="AP111" s="204"/>
      <c r="AQ111" s="204"/>
      <c r="AR111" s="204"/>
    </row>
    <row r="112" spans="5:44" ht="15" customHeight="1">
      <c r="E112" s="204"/>
      <c r="F112" s="204"/>
      <c r="G112" s="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40"/>
      <c r="AO112" s="204"/>
      <c r="AP112" s="204"/>
      <c r="AQ112" s="204"/>
      <c r="AR112" s="204"/>
    </row>
    <row r="113" spans="5:44" ht="15" customHeight="1">
      <c r="E113" s="204"/>
      <c r="F113" s="204"/>
      <c r="G113" s="9" t="s">
        <v>280</v>
      </c>
      <c r="H113" s="280" t="s">
        <v>306</v>
      </c>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40"/>
      <c r="AO113" s="204"/>
      <c r="AP113" s="204"/>
      <c r="AQ113" s="204"/>
      <c r="AR113" s="204"/>
    </row>
    <row r="114" spans="5:44" ht="15" customHeight="1">
      <c r="E114" s="204"/>
      <c r="F114" s="204"/>
      <c r="G114" s="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40"/>
      <c r="AO114" s="204"/>
      <c r="AP114" s="204"/>
      <c r="AQ114" s="204"/>
      <c r="AR114" s="204"/>
    </row>
    <row r="115" spans="5:62" ht="16.5" customHeight="1">
      <c r="E115" s="204"/>
      <c r="F115" s="204"/>
      <c r="G115" s="204" t="s">
        <v>7</v>
      </c>
      <c r="H115" s="286" t="s">
        <v>76</v>
      </c>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04"/>
      <c r="AO115" s="204"/>
      <c r="AP115" s="204"/>
      <c r="AQ115" s="204"/>
      <c r="AR115" s="204"/>
      <c r="BI115" s="153"/>
      <c r="BJ115" s="155"/>
    </row>
    <row r="116" spans="5:62" ht="16.5" customHeight="1">
      <c r="E116" s="204"/>
      <c r="F116" s="204"/>
      <c r="G116" s="204"/>
      <c r="H116" s="357"/>
      <c r="I116" s="357"/>
      <c r="J116" s="357"/>
      <c r="K116" s="357"/>
      <c r="L116" s="357"/>
      <c r="M116" s="357"/>
      <c r="N116" s="357"/>
      <c r="O116" s="357"/>
      <c r="P116" s="357"/>
      <c r="Q116" s="357"/>
      <c r="R116" s="357"/>
      <c r="S116" s="357"/>
      <c r="T116" s="357"/>
      <c r="U116" s="357"/>
      <c r="V116" s="357"/>
      <c r="W116" s="357"/>
      <c r="X116" s="357"/>
      <c r="Y116" s="357"/>
      <c r="Z116" s="357"/>
      <c r="AA116" s="357"/>
      <c r="AB116" s="357"/>
      <c r="AC116" s="357"/>
      <c r="AD116" s="357"/>
      <c r="AE116" s="357"/>
      <c r="AF116" s="357"/>
      <c r="AG116" s="357"/>
      <c r="AH116" s="357"/>
      <c r="AI116" s="357"/>
      <c r="AJ116" s="357"/>
      <c r="AK116" s="357"/>
      <c r="AL116" s="357"/>
      <c r="AM116" s="357"/>
      <c r="AN116" s="40"/>
      <c r="AO116" s="204"/>
      <c r="AP116" s="204"/>
      <c r="AQ116" s="204"/>
      <c r="AR116" s="204"/>
      <c r="BI116" s="153"/>
      <c r="BJ116" s="155"/>
    </row>
    <row r="117" spans="5:44" ht="16.5" customHeight="1">
      <c r="E117" s="148"/>
      <c r="F117" s="148"/>
      <c r="G117" s="148"/>
      <c r="H117" s="148"/>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row>
    <row r="118" spans="5:44" ht="16.5" customHeight="1">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I118" s="148"/>
      <c r="AJ118" s="148"/>
      <c r="AK118" s="148"/>
      <c r="AL118" s="148"/>
      <c r="AM118" s="148"/>
      <c r="AN118" s="148"/>
      <c r="AO118" s="148"/>
      <c r="AP118" s="148"/>
      <c r="AQ118" s="148"/>
      <c r="AR118" s="148"/>
    </row>
    <row r="119" spans="5:46" ht="16.5" customHeight="1">
      <c r="E119" s="148"/>
      <c r="F119" s="150" t="str">
        <f>IF(BK142=0,"２　業種別貸付残高","２．業種別貸付残高")</f>
        <v>２．業種別貸付残高</v>
      </c>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I119" s="148"/>
      <c r="AJ119" s="148"/>
      <c r="AK119" s="148"/>
      <c r="AL119" s="148"/>
      <c r="AM119" s="148"/>
      <c r="AN119" s="148"/>
      <c r="AO119" s="148"/>
      <c r="AP119" s="148"/>
      <c r="AQ119" s="148"/>
      <c r="AR119" s="148"/>
      <c r="AT119" s="163" t="str">
        <f>IF(BK142=0,"（表2）エラーなし","！（表2）エラー情報あり")</f>
        <v>！（表2）エラー情報あり</v>
      </c>
    </row>
    <row r="120" spans="5:44" ht="7.5" customHeight="1">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row>
    <row r="121" spans="5:44" ht="16.5" customHeight="1" thickBot="1">
      <c r="E121" s="204"/>
      <c r="F121" s="415" t="s">
        <v>484</v>
      </c>
      <c r="G121" s="593"/>
      <c r="H121" s="593"/>
      <c r="I121" s="593"/>
      <c r="J121" s="593"/>
      <c r="K121" s="593"/>
      <c r="L121" s="593"/>
      <c r="M121" s="593"/>
      <c r="N121" s="593"/>
      <c r="O121" s="593"/>
      <c r="P121" s="593"/>
      <c r="Q121" s="593"/>
      <c r="R121" s="479" t="s">
        <v>77</v>
      </c>
      <c r="S121" s="288"/>
      <c r="T121" s="288"/>
      <c r="U121" s="288"/>
      <c r="V121" s="288"/>
      <c r="W121" s="288"/>
      <c r="X121" s="288"/>
      <c r="Y121" s="288"/>
      <c r="Z121" s="289"/>
      <c r="AA121" s="289"/>
      <c r="AB121" s="289"/>
      <c r="AC121" s="289"/>
      <c r="AD121" s="290"/>
      <c r="AE121" s="295" t="s">
        <v>281</v>
      </c>
      <c r="AF121" s="295"/>
      <c r="AG121" s="295"/>
      <c r="AH121" s="295"/>
      <c r="AI121" s="295"/>
      <c r="AJ121" s="295"/>
      <c r="AK121" s="295"/>
      <c r="AL121" s="295"/>
      <c r="AM121" s="295"/>
      <c r="AN121" s="295"/>
      <c r="AO121" s="295"/>
      <c r="AP121" s="295"/>
      <c r="AQ121" s="296"/>
      <c r="AR121" s="204"/>
    </row>
    <row r="122" spans="5:63" ht="16.5" customHeight="1" thickBot="1" thickTop="1">
      <c r="E122" s="204"/>
      <c r="F122" s="595"/>
      <c r="G122" s="596"/>
      <c r="H122" s="596"/>
      <c r="I122" s="596"/>
      <c r="J122" s="596"/>
      <c r="K122" s="596"/>
      <c r="L122" s="596"/>
      <c r="M122" s="596"/>
      <c r="N122" s="596"/>
      <c r="O122" s="596"/>
      <c r="P122" s="596"/>
      <c r="Q122" s="596"/>
      <c r="R122" s="300"/>
      <c r="S122" s="301"/>
      <c r="T122" s="301"/>
      <c r="U122" s="301"/>
      <c r="V122" s="301"/>
      <c r="W122" s="583"/>
      <c r="X122" s="583"/>
      <c r="Y122" s="584"/>
      <c r="Z122" s="283" t="s">
        <v>79</v>
      </c>
      <c r="AA122" s="634"/>
      <c r="AB122" s="634"/>
      <c r="AC122" s="634"/>
      <c r="AD122" s="635"/>
      <c r="AE122" s="301"/>
      <c r="AF122" s="301"/>
      <c r="AG122" s="301"/>
      <c r="AH122" s="301"/>
      <c r="AI122" s="301"/>
      <c r="AJ122" s="301"/>
      <c r="AK122" s="301"/>
      <c r="AL122" s="331"/>
      <c r="AM122" s="283" t="s">
        <v>79</v>
      </c>
      <c r="AN122" s="284"/>
      <c r="AO122" s="284"/>
      <c r="AP122" s="284"/>
      <c r="AQ122" s="425"/>
      <c r="AR122" s="204"/>
      <c r="AZ122" s="277" t="s">
        <v>354</v>
      </c>
      <c r="BA122" s="277"/>
      <c r="BB122" s="277" t="s">
        <v>355</v>
      </c>
      <c r="BC122" s="277"/>
      <c r="BD122" s="277" t="s">
        <v>408</v>
      </c>
      <c r="BE122" s="277"/>
      <c r="BF122" s="277" t="s">
        <v>409</v>
      </c>
      <c r="BG122" s="277"/>
      <c r="BH122" s="277" t="s">
        <v>474</v>
      </c>
      <c r="BI122" s="277"/>
      <c r="BJ122" s="156"/>
      <c r="BK122" s="222" t="s">
        <v>486</v>
      </c>
    </row>
    <row r="123" spans="5:66" ht="15" customHeight="1" thickBot="1" thickTop="1">
      <c r="E123" s="204"/>
      <c r="F123" s="23"/>
      <c r="G123" s="623"/>
      <c r="H123" s="623"/>
      <c r="I123" s="623"/>
      <c r="J123" s="623"/>
      <c r="K123" s="623"/>
      <c r="L123" s="623"/>
      <c r="M123" s="623"/>
      <c r="N123" s="623"/>
      <c r="O123" s="623"/>
      <c r="P123" s="623"/>
      <c r="Q123" s="204"/>
      <c r="R123" s="665" t="s">
        <v>71</v>
      </c>
      <c r="S123" s="640"/>
      <c r="T123" s="640"/>
      <c r="U123" s="640"/>
      <c r="V123" s="640"/>
      <c r="W123" s="666"/>
      <c r="X123" s="666"/>
      <c r="Y123" s="667"/>
      <c r="Z123" s="631" t="s">
        <v>72</v>
      </c>
      <c r="AA123" s="632"/>
      <c r="AB123" s="632"/>
      <c r="AC123" s="632"/>
      <c r="AD123" s="633"/>
      <c r="AE123" s="662" t="str">
        <f>$X$393</f>
        <v>千円</v>
      </c>
      <c r="AF123" s="662"/>
      <c r="AG123" s="662"/>
      <c r="AH123" s="662"/>
      <c r="AI123" s="662"/>
      <c r="AJ123" s="662"/>
      <c r="AK123" s="662"/>
      <c r="AL123" s="663"/>
      <c r="AM123" s="631" t="s">
        <v>80</v>
      </c>
      <c r="AN123" s="640"/>
      <c r="AO123" s="640"/>
      <c r="AP123" s="640"/>
      <c r="AQ123" s="641"/>
      <c r="AS123" s="149" t="str">
        <f aca="true" t="shared" si="12" ref="AS123:AS141">BK123</f>
        <v>　　（↓エラー情報↓）</v>
      </c>
      <c r="AV123" s="155" t="s">
        <v>437</v>
      </c>
      <c r="AW123" s="155" t="s">
        <v>438</v>
      </c>
      <c r="AZ123" s="199" t="s">
        <v>410</v>
      </c>
      <c r="BA123" s="198" t="s">
        <v>353</v>
      </c>
      <c r="BB123" s="199" t="s">
        <v>410</v>
      </c>
      <c r="BC123" s="198" t="s">
        <v>353</v>
      </c>
      <c r="BD123" s="199" t="s">
        <v>410</v>
      </c>
      <c r="BE123" s="198" t="s">
        <v>353</v>
      </c>
      <c r="BF123" s="199" t="s">
        <v>410</v>
      </c>
      <c r="BG123" s="198" t="s">
        <v>353</v>
      </c>
      <c r="BH123" s="199" t="s">
        <v>410</v>
      </c>
      <c r="BI123" s="198" t="s">
        <v>353</v>
      </c>
      <c r="BJ123" s="159"/>
      <c r="BK123" s="221" t="str">
        <f>IF(BK122="表示","　　（↓エラー情報↓）","")</f>
        <v>　　（↓エラー情報↓）</v>
      </c>
      <c r="BL123" s="155" t="s">
        <v>427</v>
      </c>
      <c r="BM123" s="155" t="s">
        <v>296</v>
      </c>
      <c r="BN123" s="155" t="s">
        <v>426</v>
      </c>
    </row>
    <row r="124" spans="5:66" ht="16.5" customHeight="1">
      <c r="E124" s="204"/>
      <c r="F124" s="24"/>
      <c r="G124" s="664" t="s">
        <v>278</v>
      </c>
      <c r="H124" s="664"/>
      <c r="I124" s="664"/>
      <c r="J124" s="664"/>
      <c r="K124" s="664"/>
      <c r="L124" s="664"/>
      <c r="M124" s="664"/>
      <c r="N124" s="664"/>
      <c r="O124" s="664"/>
      <c r="P124" s="664"/>
      <c r="Q124" s="215"/>
      <c r="R124" s="610"/>
      <c r="S124" s="611"/>
      <c r="T124" s="611"/>
      <c r="U124" s="611"/>
      <c r="V124" s="611"/>
      <c r="W124" s="611"/>
      <c r="X124" s="611"/>
      <c r="Y124" s="612"/>
      <c r="Z124" s="314">
        <f>IF(OR(AV$141=0,AV124=0),0,ROUNDDOWN((R124/R$141),4)*100)</f>
        <v>0</v>
      </c>
      <c r="AA124" s="314"/>
      <c r="AB124" s="314"/>
      <c r="AC124" s="314"/>
      <c r="AD124" s="314"/>
      <c r="AE124" s="610"/>
      <c r="AF124" s="611"/>
      <c r="AG124" s="611"/>
      <c r="AH124" s="611"/>
      <c r="AI124" s="611"/>
      <c r="AJ124" s="611"/>
      <c r="AK124" s="611"/>
      <c r="AL124" s="612"/>
      <c r="AM124" s="313">
        <f>IF(OR(AW$141=0,AW124=0),0,ROUNDDOWN((AE124/AE$141),4)*100)</f>
        <v>0</v>
      </c>
      <c r="AN124" s="314"/>
      <c r="AO124" s="314"/>
      <c r="AP124" s="314"/>
      <c r="AQ124" s="315"/>
      <c r="AS124" s="149">
        <f t="shared" si="12"/>
      </c>
      <c r="AV124" s="231">
        <f>IF(R124="-",0,R124)</f>
        <v>0</v>
      </c>
      <c r="AW124" s="231">
        <f>IF(AE124="-",0,AE124)</f>
        <v>0</v>
      </c>
      <c r="AX124" s="236"/>
      <c r="AY124" s="167">
        <v>1</v>
      </c>
      <c r="AZ124" s="168" t="str">
        <f aca="true" t="shared" si="13" ref="AZ124:AZ141">CONCATENATE(IF(OR(R124="",R124="-"),"無","有"),IF(OR(AE124="",AE124="-"),"無","有"))</f>
        <v>無無</v>
      </c>
      <c r="BA124" s="169">
        <f>IF(ISNA(VLOOKUP(AZ124,AZ$75:BA$91,2,FALSE))=TRUE,"",VLOOKUP(AZ124,AZ$75:BA$91,2,FALSE))</f>
      </c>
      <c r="BB124" s="170" t="s">
        <v>276</v>
      </c>
      <c r="BC124" s="171"/>
      <c r="BD124" s="168" t="str">
        <f>IF(AZ124="有有",IF(AW124/AV124&gt;BL124,"高額","ok"),"-")</f>
        <v>-</v>
      </c>
      <c r="BE124" s="169">
        <f>IF(ISNA(VLOOKUP(BD124,BD$75:BE$91,2,FALSE))=TRUE,"",VLOOKUP(BD124,BD$75:BE$91,2,FALSE))</f>
      </c>
      <c r="BF124" s="170" t="s">
        <v>276</v>
      </c>
      <c r="BG124" s="176"/>
      <c r="BH124" s="170" t="s">
        <v>276</v>
      </c>
      <c r="BI124" s="173"/>
      <c r="BJ124" s="156">
        <f aca="true" t="shared" si="14" ref="BJ124:BJ141">IF(AND(BA124="",BC124="",BE124="",BG124="",BI124=""),"","←")</f>
      </c>
      <c r="BK124" s="174">
        <f>IF(BK$122="表示",CONCATENATE(BJ124,BA124,BC124,BE124,BG124,BI124),"")</f>
      </c>
      <c r="BL124" s="225">
        <f aca="true" t="shared" si="15" ref="BL124:BL141">IF(Z$98="百万円",BM124,BN124)</f>
        <v>1000000000</v>
      </c>
      <c r="BM124" s="225">
        <v>1000000</v>
      </c>
      <c r="BN124" s="225">
        <v>1000000000</v>
      </c>
    </row>
    <row r="125" spans="5:66" ht="16.5" customHeight="1">
      <c r="E125" s="204"/>
      <c r="F125" s="24"/>
      <c r="G125" s="664" t="s">
        <v>81</v>
      </c>
      <c r="H125" s="664"/>
      <c r="I125" s="664"/>
      <c r="J125" s="664"/>
      <c r="K125" s="664"/>
      <c r="L125" s="664"/>
      <c r="M125" s="664"/>
      <c r="N125" s="664"/>
      <c r="O125" s="664"/>
      <c r="P125" s="664"/>
      <c r="Q125" s="215"/>
      <c r="R125" s="308"/>
      <c r="S125" s="309"/>
      <c r="T125" s="309"/>
      <c r="U125" s="309"/>
      <c r="V125" s="309"/>
      <c r="W125" s="309"/>
      <c r="X125" s="309"/>
      <c r="Y125" s="310"/>
      <c r="Z125" s="314">
        <f>IF(OR(AV$141=0,AV125=0),0,ROUNDDOWN((R125/R$141),4)*100)</f>
        <v>0</v>
      </c>
      <c r="AA125" s="314"/>
      <c r="AB125" s="314"/>
      <c r="AC125" s="314"/>
      <c r="AD125" s="314"/>
      <c r="AE125" s="308"/>
      <c r="AF125" s="309"/>
      <c r="AG125" s="309"/>
      <c r="AH125" s="309"/>
      <c r="AI125" s="309"/>
      <c r="AJ125" s="309"/>
      <c r="AK125" s="309"/>
      <c r="AL125" s="310"/>
      <c r="AM125" s="313">
        <f>IF(OR(AW$141=0,AW125=0),0,ROUNDDOWN((AE125/AE$141),4)*100)</f>
        <v>0</v>
      </c>
      <c r="AN125" s="314"/>
      <c r="AO125" s="314"/>
      <c r="AP125" s="314"/>
      <c r="AQ125" s="315"/>
      <c r="AS125" s="149">
        <f t="shared" si="12"/>
      </c>
      <c r="AV125" s="232">
        <f aca="true" t="shared" si="16" ref="AV125:AV139">IF(R125="-",0,R125)</f>
        <v>0</v>
      </c>
      <c r="AW125" s="232">
        <f aca="true" t="shared" si="17" ref="AW125:AW141">IF(AE125="-",0,AE125)</f>
        <v>0</v>
      </c>
      <c r="AX125" s="236"/>
      <c r="AY125" s="167">
        <v>2</v>
      </c>
      <c r="AZ125" s="172" t="str">
        <f t="shared" si="13"/>
        <v>無無</v>
      </c>
      <c r="BA125" s="169">
        <f>IF(ISNA(VLOOKUP(AZ125,AZ$75:BA$91,2,FALSE))=TRUE,"",VLOOKUP(AZ125,AZ$75:BA$91,2,FALSE))</f>
      </c>
      <c r="BB125" s="175" t="s">
        <v>276</v>
      </c>
      <c r="BC125" s="176"/>
      <c r="BD125" s="172" t="str">
        <f aca="true" t="shared" si="18" ref="BD125:BD141">IF(AZ125="有有",IF(AW125/AV125&gt;BL125,"高額","ok"),"-")</f>
        <v>-</v>
      </c>
      <c r="BE125" s="169">
        <f aca="true" t="shared" si="19" ref="BE125:BE141">IF(ISNA(VLOOKUP(BD125,BD$75:BE$91,2,FALSE))=TRUE,"",VLOOKUP(BD125,BD$75:BE$91,2,FALSE))</f>
      </c>
      <c r="BF125" s="175" t="s">
        <v>276</v>
      </c>
      <c r="BG125" s="176"/>
      <c r="BH125" s="175" t="s">
        <v>276</v>
      </c>
      <c r="BI125" s="177"/>
      <c r="BJ125" s="156">
        <f t="shared" si="14"/>
      </c>
      <c r="BK125" s="189">
        <f aca="true" t="shared" si="20" ref="BK125:BK141">IF(BK$122="表示",CONCATENATE(BJ125,BA125,BC125,BE125,BG125,BI125),"")</f>
      </c>
      <c r="BL125" s="225">
        <f t="shared" si="15"/>
        <v>1000000000</v>
      </c>
      <c r="BM125" s="225">
        <v>1000000</v>
      </c>
      <c r="BN125" s="225">
        <v>1000000000</v>
      </c>
    </row>
    <row r="126" spans="5:66" ht="16.5" customHeight="1">
      <c r="E126" s="204"/>
      <c r="F126" s="25"/>
      <c r="G126" s="484" t="s">
        <v>82</v>
      </c>
      <c r="H126" s="484"/>
      <c r="I126" s="484"/>
      <c r="J126" s="484"/>
      <c r="K126" s="484"/>
      <c r="L126" s="484"/>
      <c r="M126" s="484"/>
      <c r="N126" s="484"/>
      <c r="O126" s="484"/>
      <c r="P126" s="484"/>
      <c r="Q126" s="203"/>
      <c r="R126" s="308"/>
      <c r="S126" s="309"/>
      <c r="T126" s="309"/>
      <c r="U126" s="309"/>
      <c r="V126" s="309"/>
      <c r="W126" s="309"/>
      <c r="X126" s="309"/>
      <c r="Y126" s="310"/>
      <c r="Z126" s="314">
        <f>IF(OR(AV$141=0,AV126=0),0,ROUNDDOWN((R126/R$141),4)*100)</f>
        <v>0</v>
      </c>
      <c r="AA126" s="314"/>
      <c r="AB126" s="314"/>
      <c r="AC126" s="314"/>
      <c r="AD126" s="314"/>
      <c r="AE126" s="308"/>
      <c r="AF126" s="309"/>
      <c r="AG126" s="309"/>
      <c r="AH126" s="309"/>
      <c r="AI126" s="309"/>
      <c r="AJ126" s="309"/>
      <c r="AK126" s="309"/>
      <c r="AL126" s="310"/>
      <c r="AM126" s="313">
        <f aca="true" t="shared" si="21" ref="AM126:AM139">IF(OR(AW$141=0,AW126=0),0,ROUNDDOWN((AE126/AE$141),4)*100)</f>
        <v>0</v>
      </c>
      <c r="AN126" s="314"/>
      <c r="AO126" s="314"/>
      <c r="AP126" s="314"/>
      <c r="AQ126" s="315"/>
      <c r="AS126" s="149">
        <f t="shared" si="12"/>
      </c>
      <c r="AV126" s="232">
        <f t="shared" si="16"/>
        <v>0</v>
      </c>
      <c r="AW126" s="232">
        <f t="shared" si="17"/>
        <v>0</v>
      </c>
      <c r="AX126" s="236"/>
      <c r="AY126" s="167">
        <v>3</v>
      </c>
      <c r="AZ126" s="172" t="str">
        <f t="shared" si="13"/>
        <v>無無</v>
      </c>
      <c r="BA126" s="169">
        <f aca="true" t="shared" si="22" ref="BA126:BA141">IF(ISNA(VLOOKUP(AZ126,AZ$75:BA$91,2,FALSE))=TRUE,"",VLOOKUP(AZ126,AZ$75:BA$91,2,FALSE))</f>
      </c>
      <c r="BB126" s="175" t="s">
        <v>276</v>
      </c>
      <c r="BC126" s="176"/>
      <c r="BD126" s="172" t="str">
        <f t="shared" si="18"/>
        <v>-</v>
      </c>
      <c r="BE126" s="169">
        <f t="shared" si="19"/>
      </c>
      <c r="BF126" s="175" t="s">
        <v>276</v>
      </c>
      <c r="BG126" s="176"/>
      <c r="BH126" s="175" t="s">
        <v>276</v>
      </c>
      <c r="BI126" s="177"/>
      <c r="BJ126" s="156">
        <f t="shared" si="14"/>
      </c>
      <c r="BK126" s="189">
        <f t="shared" si="20"/>
      </c>
      <c r="BL126" s="225">
        <f t="shared" si="15"/>
        <v>1000000000</v>
      </c>
      <c r="BM126" s="225">
        <v>1000000</v>
      </c>
      <c r="BN126" s="225">
        <v>1000000000</v>
      </c>
    </row>
    <row r="127" spans="5:66" ht="16.5" customHeight="1">
      <c r="E127" s="204"/>
      <c r="F127" s="25"/>
      <c r="G127" s="484" t="s">
        <v>83</v>
      </c>
      <c r="H127" s="484"/>
      <c r="I127" s="484"/>
      <c r="J127" s="484"/>
      <c r="K127" s="484"/>
      <c r="L127" s="484"/>
      <c r="M127" s="484"/>
      <c r="N127" s="484"/>
      <c r="O127" s="484"/>
      <c r="P127" s="484"/>
      <c r="Q127" s="67"/>
      <c r="R127" s="308"/>
      <c r="S127" s="309"/>
      <c r="T127" s="309"/>
      <c r="U127" s="309"/>
      <c r="V127" s="309"/>
      <c r="W127" s="309"/>
      <c r="X127" s="309"/>
      <c r="Y127" s="310"/>
      <c r="Z127" s="314">
        <f aca="true" t="shared" si="23" ref="Z127:Z139">IF(OR(AV$141=0,AV127=0),0,ROUNDDOWN((R127/R$141),4)*100)</f>
        <v>0</v>
      </c>
      <c r="AA127" s="314"/>
      <c r="AB127" s="314"/>
      <c r="AC127" s="314"/>
      <c r="AD127" s="314"/>
      <c r="AE127" s="308"/>
      <c r="AF127" s="309"/>
      <c r="AG127" s="309"/>
      <c r="AH127" s="309"/>
      <c r="AI127" s="309"/>
      <c r="AJ127" s="309"/>
      <c r="AK127" s="309"/>
      <c r="AL127" s="310"/>
      <c r="AM127" s="313">
        <f t="shared" si="21"/>
        <v>0</v>
      </c>
      <c r="AN127" s="314"/>
      <c r="AO127" s="314"/>
      <c r="AP127" s="314"/>
      <c r="AQ127" s="315"/>
      <c r="AS127" s="149">
        <f t="shared" si="12"/>
      </c>
      <c r="AV127" s="232">
        <f t="shared" si="16"/>
        <v>0</v>
      </c>
      <c r="AW127" s="232">
        <f t="shared" si="17"/>
        <v>0</v>
      </c>
      <c r="AX127" s="236"/>
      <c r="AY127" s="167">
        <v>4</v>
      </c>
      <c r="AZ127" s="172" t="str">
        <f t="shared" si="13"/>
        <v>無無</v>
      </c>
      <c r="BA127" s="169">
        <f t="shared" si="22"/>
      </c>
      <c r="BB127" s="175" t="s">
        <v>276</v>
      </c>
      <c r="BC127" s="176"/>
      <c r="BD127" s="172" t="str">
        <f t="shared" si="18"/>
        <v>-</v>
      </c>
      <c r="BE127" s="169">
        <f t="shared" si="19"/>
      </c>
      <c r="BF127" s="175" t="s">
        <v>276</v>
      </c>
      <c r="BG127" s="176"/>
      <c r="BH127" s="175" t="s">
        <v>276</v>
      </c>
      <c r="BI127" s="177"/>
      <c r="BJ127" s="156">
        <f t="shared" si="14"/>
      </c>
      <c r="BK127" s="189">
        <f t="shared" si="20"/>
      </c>
      <c r="BL127" s="225">
        <f t="shared" si="15"/>
        <v>1000000000</v>
      </c>
      <c r="BM127" s="225">
        <v>1000000</v>
      </c>
      <c r="BN127" s="225">
        <v>1000000000</v>
      </c>
    </row>
    <row r="128" spans="5:66" ht="16.5" customHeight="1">
      <c r="E128" s="204"/>
      <c r="F128" s="25"/>
      <c r="G128" s="484" t="s">
        <v>84</v>
      </c>
      <c r="H128" s="484"/>
      <c r="I128" s="484"/>
      <c r="J128" s="484"/>
      <c r="K128" s="484"/>
      <c r="L128" s="484"/>
      <c r="M128" s="484"/>
      <c r="N128" s="484"/>
      <c r="O128" s="484"/>
      <c r="P128" s="484"/>
      <c r="Q128" s="203"/>
      <c r="R128" s="308"/>
      <c r="S128" s="309"/>
      <c r="T128" s="309"/>
      <c r="U128" s="309"/>
      <c r="V128" s="309"/>
      <c r="W128" s="309"/>
      <c r="X128" s="309"/>
      <c r="Y128" s="310"/>
      <c r="Z128" s="314">
        <f t="shared" si="23"/>
        <v>0</v>
      </c>
      <c r="AA128" s="314"/>
      <c r="AB128" s="314"/>
      <c r="AC128" s="314"/>
      <c r="AD128" s="314"/>
      <c r="AE128" s="308"/>
      <c r="AF128" s="309"/>
      <c r="AG128" s="309"/>
      <c r="AH128" s="309"/>
      <c r="AI128" s="309"/>
      <c r="AJ128" s="309"/>
      <c r="AK128" s="309"/>
      <c r="AL128" s="310"/>
      <c r="AM128" s="313">
        <f t="shared" si="21"/>
        <v>0</v>
      </c>
      <c r="AN128" s="314"/>
      <c r="AO128" s="314"/>
      <c r="AP128" s="314"/>
      <c r="AQ128" s="315"/>
      <c r="AS128" s="149">
        <f t="shared" si="12"/>
      </c>
      <c r="AV128" s="232">
        <f t="shared" si="16"/>
        <v>0</v>
      </c>
      <c r="AW128" s="232">
        <f t="shared" si="17"/>
        <v>0</v>
      </c>
      <c r="AX128" s="236"/>
      <c r="AY128" s="167">
        <v>5</v>
      </c>
      <c r="AZ128" s="172" t="str">
        <f t="shared" si="13"/>
        <v>無無</v>
      </c>
      <c r="BA128" s="169">
        <f t="shared" si="22"/>
      </c>
      <c r="BB128" s="175" t="s">
        <v>276</v>
      </c>
      <c r="BC128" s="176"/>
      <c r="BD128" s="172" t="str">
        <f t="shared" si="18"/>
        <v>-</v>
      </c>
      <c r="BE128" s="169">
        <f t="shared" si="19"/>
      </c>
      <c r="BF128" s="175" t="s">
        <v>276</v>
      </c>
      <c r="BG128" s="176"/>
      <c r="BH128" s="175" t="s">
        <v>276</v>
      </c>
      <c r="BI128" s="177"/>
      <c r="BJ128" s="156">
        <f t="shared" si="14"/>
      </c>
      <c r="BK128" s="189">
        <f t="shared" si="20"/>
      </c>
      <c r="BL128" s="225">
        <f t="shared" si="15"/>
        <v>1000000000</v>
      </c>
      <c r="BM128" s="225">
        <v>1000000</v>
      </c>
      <c r="BN128" s="225">
        <v>1000000000</v>
      </c>
    </row>
    <row r="129" spans="5:66" ht="16.5" customHeight="1">
      <c r="E129" s="204"/>
      <c r="F129" s="25"/>
      <c r="G129" s="484" t="s">
        <v>205</v>
      </c>
      <c r="H129" s="484"/>
      <c r="I129" s="484"/>
      <c r="J129" s="484"/>
      <c r="K129" s="484"/>
      <c r="L129" s="484"/>
      <c r="M129" s="484"/>
      <c r="N129" s="484"/>
      <c r="O129" s="484"/>
      <c r="P129" s="484"/>
      <c r="Q129" s="203"/>
      <c r="R129" s="308"/>
      <c r="S129" s="309"/>
      <c r="T129" s="309"/>
      <c r="U129" s="309"/>
      <c r="V129" s="309"/>
      <c r="W129" s="309"/>
      <c r="X129" s="309"/>
      <c r="Y129" s="310"/>
      <c r="Z129" s="314">
        <f t="shared" si="23"/>
        <v>0</v>
      </c>
      <c r="AA129" s="314"/>
      <c r="AB129" s="314"/>
      <c r="AC129" s="314"/>
      <c r="AD129" s="314"/>
      <c r="AE129" s="308"/>
      <c r="AF129" s="309"/>
      <c r="AG129" s="309"/>
      <c r="AH129" s="309"/>
      <c r="AI129" s="309"/>
      <c r="AJ129" s="309"/>
      <c r="AK129" s="309"/>
      <c r="AL129" s="310"/>
      <c r="AM129" s="313">
        <f t="shared" si="21"/>
        <v>0</v>
      </c>
      <c r="AN129" s="314"/>
      <c r="AO129" s="314"/>
      <c r="AP129" s="314"/>
      <c r="AQ129" s="315"/>
      <c r="AS129" s="149">
        <f t="shared" si="12"/>
      </c>
      <c r="AV129" s="232">
        <f t="shared" si="16"/>
        <v>0</v>
      </c>
      <c r="AW129" s="232">
        <f t="shared" si="17"/>
        <v>0</v>
      </c>
      <c r="AX129" s="236"/>
      <c r="AY129" s="167">
        <v>6</v>
      </c>
      <c r="AZ129" s="172" t="str">
        <f t="shared" si="13"/>
        <v>無無</v>
      </c>
      <c r="BA129" s="169">
        <f t="shared" si="22"/>
      </c>
      <c r="BB129" s="175" t="s">
        <v>276</v>
      </c>
      <c r="BC129" s="176"/>
      <c r="BD129" s="172" t="str">
        <f t="shared" si="18"/>
        <v>-</v>
      </c>
      <c r="BE129" s="169">
        <f t="shared" si="19"/>
      </c>
      <c r="BF129" s="175" t="s">
        <v>276</v>
      </c>
      <c r="BG129" s="176"/>
      <c r="BH129" s="175" t="s">
        <v>276</v>
      </c>
      <c r="BI129" s="177"/>
      <c r="BJ129" s="156">
        <f t="shared" si="14"/>
      </c>
      <c r="BK129" s="189">
        <f t="shared" si="20"/>
      </c>
      <c r="BL129" s="225">
        <f t="shared" si="15"/>
        <v>1000000000</v>
      </c>
      <c r="BM129" s="225">
        <v>1000000</v>
      </c>
      <c r="BN129" s="225">
        <v>1000000000</v>
      </c>
    </row>
    <row r="130" spans="5:66" ht="16.5" customHeight="1">
      <c r="E130" s="204"/>
      <c r="F130" s="25"/>
      <c r="G130" s="484" t="s">
        <v>206</v>
      </c>
      <c r="H130" s="484"/>
      <c r="I130" s="484"/>
      <c r="J130" s="484"/>
      <c r="K130" s="484"/>
      <c r="L130" s="484"/>
      <c r="M130" s="484"/>
      <c r="N130" s="484"/>
      <c r="O130" s="484"/>
      <c r="P130" s="484"/>
      <c r="Q130" s="203"/>
      <c r="R130" s="308"/>
      <c r="S130" s="309"/>
      <c r="T130" s="309"/>
      <c r="U130" s="309"/>
      <c r="V130" s="309"/>
      <c r="W130" s="309"/>
      <c r="X130" s="309"/>
      <c r="Y130" s="310"/>
      <c r="Z130" s="314">
        <f t="shared" si="23"/>
        <v>0</v>
      </c>
      <c r="AA130" s="314"/>
      <c r="AB130" s="314"/>
      <c r="AC130" s="314"/>
      <c r="AD130" s="314"/>
      <c r="AE130" s="308"/>
      <c r="AF130" s="309"/>
      <c r="AG130" s="309"/>
      <c r="AH130" s="309"/>
      <c r="AI130" s="309"/>
      <c r="AJ130" s="309"/>
      <c r="AK130" s="309"/>
      <c r="AL130" s="310"/>
      <c r="AM130" s="313">
        <f t="shared" si="21"/>
        <v>0</v>
      </c>
      <c r="AN130" s="314"/>
      <c r="AO130" s="314"/>
      <c r="AP130" s="314"/>
      <c r="AQ130" s="315"/>
      <c r="AS130" s="149">
        <f t="shared" si="12"/>
      </c>
      <c r="AV130" s="232">
        <f t="shared" si="16"/>
        <v>0</v>
      </c>
      <c r="AW130" s="232">
        <f t="shared" si="17"/>
        <v>0</v>
      </c>
      <c r="AX130" s="236"/>
      <c r="AY130" s="167">
        <v>7</v>
      </c>
      <c r="AZ130" s="172" t="str">
        <f t="shared" si="13"/>
        <v>無無</v>
      </c>
      <c r="BA130" s="169">
        <f t="shared" si="22"/>
      </c>
      <c r="BB130" s="175" t="s">
        <v>276</v>
      </c>
      <c r="BC130" s="176"/>
      <c r="BD130" s="172" t="str">
        <f t="shared" si="18"/>
        <v>-</v>
      </c>
      <c r="BE130" s="169">
        <f t="shared" si="19"/>
      </c>
      <c r="BF130" s="175" t="s">
        <v>276</v>
      </c>
      <c r="BG130" s="176"/>
      <c r="BH130" s="175" t="s">
        <v>276</v>
      </c>
      <c r="BI130" s="177"/>
      <c r="BJ130" s="156">
        <f t="shared" si="14"/>
      </c>
      <c r="BK130" s="189">
        <f t="shared" si="20"/>
      </c>
      <c r="BL130" s="225">
        <f t="shared" si="15"/>
        <v>1000000000</v>
      </c>
      <c r="BM130" s="225">
        <v>1000000</v>
      </c>
      <c r="BN130" s="225">
        <v>1000000000</v>
      </c>
    </row>
    <row r="131" spans="5:66" ht="16.5" customHeight="1">
      <c r="E131" s="204"/>
      <c r="F131" s="25"/>
      <c r="G131" s="484" t="s">
        <v>207</v>
      </c>
      <c r="H131" s="484"/>
      <c r="I131" s="484"/>
      <c r="J131" s="484"/>
      <c r="K131" s="484"/>
      <c r="L131" s="484"/>
      <c r="M131" s="484"/>
      <c r="N131" s="484"/>
      <c r="O131" s="484"/>
      <c r="P131" s="484"/>
      <c r="Q131" s="203"/>
      <c r="R131" s="308"/>
      <c r="S131" s="309"/>
      <c r="T131" s="309"/>
      <c r="U131" s="309"/>
      <c r="V131" s="309"/>
      <c r="W131" s="309"/>
      <c r="X131" s="309"/>
      <c r="Y131" s="310"/>
      <c r="Z131" s="314">
        <f t="shared" si="23"/>
        <v>0</v>
      </c>
      <c r="AA131" s="314"/>
      <c r="AB131" s="314"/>
      <c r="AC131" s="314"/>
      <c r="AD131" s="314"/>
      <c r="AE131" s="308"/>
      <c r="AF131" s="309"/>
      <c r="AG131" s="309"/>
      <c r="AH131" s="309"/>
      <c r="AI131" s="309"/>
      <c r="AJ131" s="309"/>
      <c r="AK131" s="309"/>
      <c r="AL131" s="310"/>
      <c r="AM131" s="313">
        <f t="shared" si="21"/>
        <v>0</v>
      </c>
      <c r="AN131" s="314"/>
      <c r="AO131" s="314"/>
      <c r="AP131" s="314"/>
      <c r="AQ131" s="315"/>
      <c r="AS131" s="149">
        <f t="shared" si="12"/>
      </c>
      <c r="AV131" s="232">
        <f t="shared" si="16"/>
        <v>0</v>
      </c>
      <c r="AW131" s="232">
        <f t="shared" si="17"/>
        <v>0</v>
      </c>
      <c r="AX131" s="236"/>
      <c r="AY131" s="167">
        <v>8</v>
      </c>
      <c r="AZ131" s="172" t="str">
        <f t="shared" si="13"/>
        <v>無無</v>
      </c>
      <c r="BA131" s="169">
        <f t="shared" si="22"/>
      </c>
      <c r="BB131" s="175" t="s">
        <v>276</v>
      </c>
      <c r="BC131" s="176"/>
      <c r="BD131" s="172" t="str">
        <f t="shared" si="18"/>
        <v>-</v>
      </c>
      <c r="BE131" s="169">
        <f t="shared" si="19"/>
      </c>
      <c r="BF131" s="175" t="s">
        <v>276</v>
      </c>
      <c r="BG131" s="176"/>
      <c r="BH131" s="175" t="s">
        <v>276</v>
      </c>
      <c r="BI131" s="177"/>
      <c r="BJ131" s="156">
        <f t="shared" si="14"/>
      </c>
      <c r="BK131" s="189">
        <f t="shared" si="20"/>
      </c>
      <c r="BL131" s="225">
        <f t="shared" si="15"/>
        <v>1000000000</v>
      </c>
      <c r="BM131" s="225">
        <v>1000000</v>
      </c>
      <c r="BN131" s="225">
        <v>1000000000</v>
      </c>
    </row>
    <row r="132" spans="5:66" ht="16.5" customHeight="1">
      <c r="E132" s="204"/>
      <c r="F132" s="25"/>
      <c r="G132" s="484" t="s">
        <v>208</v>
      </c>
      <c r="H132" s="484"/>
      <c r="I132" s="484"/>
      <c r="J132" s="484"/>
      <c r="K132" s="484"/>
      <c r="L132" s="484"/>
      <c r="M132" s="484"/>
      <c r="N132" s="484"/>
      <c r="O132" s="484"/>
      <c r="P132" s="484"/>
      <c r="Q132" s="203"/>
      <c r="R132" s="308"/>
      <c r="S132" s="309"/>
      <c r="T132" s="309"/>
      <c r="U132" s="309"/>
      <c r="V132" s="309"/>
      <c r="W132" s="309"/>
      <c r="X132" s="309"/>
      <c r="Y132" s="310"/>
      <c r="Z132" s="314">
        <f t="shared" si="23"/>
        <v>0</v>
      </c>
      <c r="AA132" s="314"/>
      <c r="AB132" s="314"/>
      <c r="AC132" s="314"/>
      <c r="AD132" s="314"/>
      <c r="AE132" s="308"/>
      <c r="AF132" s="309"/>
      <c r="AG132" s="309"/>
      <c r="AH132" s="309"/>
      <c r="AI132" s="309"/>
      <c r="AJ132" s="309"/>
      <c r="AK132" s="309"/>
      <c r="AL132" s="310"/>
      <c r="AM132" s="313">
        <f t="shared" si="21"/>
        <v>0</v>
      </c>
      <c r="AN132" s="314"/>
      <c r="AO132" s="314"/>
      <c r="AP132" s="314"/>
      <c r="AQ132" s="315"/>
      <c r="AS132" s="149">
        <f t="shared" si="12"/>
      </c>
      <c r="AV132" s="232">
        <f t="shared" si="16"/>
        <v>0</v>
      </c>
      <c r="AW132" s="232">
        <f t="shared" si="17"/>
        <v>0</v>
      </c>
      <c r="AX132" s="236"/>
      <c r="AY132" s="167">
        <v>9</v>
      </c>
      <c r="AZ132" s="172" t="str">
        <f t="shared" si="13"/>
        <v>無無</v>
      </c>
      <c r="BA132" s="169">
        <f t="shared" si="22"/>
      </c>
      <c r="BB132" s="175" t="s">
        <v>276</v>
      </c>
      <c r="BC132" s="176"/>
      <c r="BD132" s="172" t="str">
        <f t="shared" si="18"/>
        <v>-</v>
      </c>
      <c r="BE132" s="169">
        <f t="shared" si="19"/>
      </c>
      <c r="BF132" s="175" t="s">
        <v>276</v>
      </c>
      <c r="BG132" s="176"/>
      <c r="BH132" s="175" t="s">
        <v>276</v>
      </c>
      <c r="BI132" s="177"/>
      <c r="BJ132" s="156">
        <f t="shared" si="14"/>
      </c>
      <c r="BK132" s="189">
        <f t="shared" si="20"/>
      </c>
      <c r="BL132" s="225">
        <f t="shared" si="15"/>
        <v>1000000000</v>
      </c>
      <c r="BM132" s="225">
        <v>1000000</v>
      </c>
      <c r="BN132" s="225">
        <v>1000000000</v>
      </c>
    </row>
    <row r="133" spans="5:66" ht="16.5" customHeight="1">
      <c r="E133" s="204"/>
      <c r="F133" s="25"/>
      <c r="G133" s="484" t="s">
        <v>209</v>
      </c>
      <c r="H133" s="484"/>
      <c r="I133" s="484"/>
      <c r="J133" s="484"/>
      <c r="K133" s="484"/>
      <c r="L133" s="484"/>
      <c r="M133" s="484"/>
      <c r="N133" s="484"/>
      <c r="O133" s="484"/>
      <c r="P133" s="484"/>
      <c r="Q133" s="203"/>
      <c r="R133" s="308"/>
      <c r="S133" s="309"/>
      <c r="T133" s="309"/>
      <c r="U133" s="309"/>
      <c r="V133" s="309"/>
      <c r="W133" s="309"/>
      <c r="X133" s="309"/>
      <c r="Y133" s="310"/>
      <c r="Z133" s="314">
        <f t="shared" si="23"/>
        <v>0</v>
      </c>
      <c r="AA133" s="314"/>
      <c r="AB133" s="314"/>
      <c r="AC133" s="314"/>
      <c r="AD133" s="314"/>
      <c r="AE133" s="308"/>
      <c r="AF133" s="309"/>
      <c r="AG133" s="309"/>
      <c r="AH133" s="309"/>
      <c r="AI133" s="309"/>
      <c r="AJ133" s="309"/>
      <c r="AK133" s="309"/>
      <c r="AL133" s="310"/>
      <c r="AM133" s="313">
        <f t="shared" si="21"/>
        <v>0</v>
      </c>
      <c r="AN133" s="314"/>
      <c r="AO133" s="314"/>
      <c r="AP133" s="314"/>
      <c r="AQ133" s="315"/>
      <c r="AS133" s="149">
        <f t="shared" si="12"/>
      </c>
      <c r="AV133" s="232">
        <f t="shared" si="16"/>
        <v>0</v>
      </c>
      <c r="AW133" s="232">
        <f t="shared" si="17"/>
        <v>0</v>
      </c>
      <c r="AX133" s="236"/>
      <c r="AY133" s="167">
        <v>10</v>
      </c>
      <c r="AZ133" s="172" t="str">
        <f t="shared" si="13"/>
        <v>無無</v>
      </c>
      <c r="BA133" s="169">
        <f t="shared" si="22"/>
      </c>
      <c r="BB133" s="175" t="s">
        <v>276</v>
      </c>
      <c r="BC133" s="176"/>
      <c r="BD133" s="172" t="str">
        <f t="shared" si="18"/>
        <v>-</v>
      </c>
      <c r="BE133" s="169">
        <f t="shared" si="19"/>
      </c>
      <c r="BF133" s="175" t="s">
        <v>276</v>
      </c>
      <c r="BG133" s="176"/>
      <c r="BH133" s="175" t="s">
        <v>276</v>
      </c>
      <c r="BI133" s="177"/>
      <c r="BJ133" s="156">
        <f t="shared" si="14"/>
      </c>
      <c r="BK133" s="189">
        <f t="shared" si="20"/>
      </c>
      <c r="BL133" s="225">
        <f t="shared" si="15"/>
        <v>1000000000</v>
      </c>
      <c r="BM133" s="225">
        <v>1000000</v>
      </c>
      <c r="BN133" s="225">
        <v>1000000000</v>
      </c>
    </row>
    <row r="134" spans="5:66" ht="16.5" customHeight="1">
      <c r="E134" s="204"/>
      <c r="F134" s="25"/>
      <c r="G134" s="484" t="s">
        <v>86</v>
      </c>
      <c r="H134" s="484"/>
      <c r="I134" s="484"/>
      <c r="J134" s="484"/>
      <c r="K134" s="484"/>
      <c r="L134" s="484"/>
      <c r="M134" s="484"/>
      <c r="N134" s="484"/>
      <c r="O134" s="484"/>
      <c r="P134" s="484"/>
      <c r="Q134" s="203"/>
      <c r="R134" s="308"/>
      <c r="S134" s="309"/>
      <c r="T134" s="309"/>
      <c r="U134" s="309"/>
      <c r="V134" s="309"/>
      <c r="W134" s="309"/>
      <c r="X134" s="309"/>
      <c r="Y134" s="310"/>
      <c r="Z134" s="314">
        <f t="shared" si="23"/>
        <v>0</v>
      </c>
      <c r="AA134" s="314"/>
      <c r="AB134" s="314"/>
      <c r="AC134" s="314"/>
      <c r="AD134" s="314"/>
      <c r="AE134" s="308"/>
      <c r="AF134" s="309"/>
      <c r="AG134" s="309"/>
      <c r="AH134" s="309"/>
      <c r="AI134" s="309"/>
      <c r="AJ134" s="309"/>
      <c r="AK134" s="309"/>
      <c r="AL134" s="310"/>
      <c r="AM134" s="313">
        <f t="shared" si="21"/>
        <v>0</v>
      </c>
      <c r="AN134" s="314"/>
      <c r="AO134" s="314"/>
      <c r="AP134" s="314"/>
      <c r="AQ134" s="315"/>
      <c r="AS134" s="149">
        <f t="shared" si="12"/>
      </c>
      <c r="AV134" s="232">
        <f t="shared" si="16"/>
        <v>0</v>
      </c>
      <c r="AW134" s="232">
        <f t="shared" si="17"/>
        <v>0</v>
      </c>
      <c r="AX134" s="236"/>
      <c r="AY134" s="167">
        <v>11</v>
      </c>
      <c r="AZ134" s="172" t="str">
        <f t="shared" si="13"/>
        <v>無無</v>
      </c>
      <c r="BA134" s="169">
        <f t="shared" si="22"/>
      </c>
      <c r="BB134" s="175" t="s">
        <v>276</v>
      </c>
      <c r="BC134" s="176"/>
      <c r="BD134" s="172" t="str">
        <f t="shared" si="18"/>
        <v>-</v>
      </c>
      <c r="BE134" s="169">
        <f t="shared" si="19"/>
      </c>
      <c r="BF134" s="175" t="s">
        <v>276</v>
      </c>
      <c r="BG134" s="176"/>
      <c r="BH134" s="175" t="s">
        <v>276</v>
      </c>
      <c r="BI134" s="177"/>
      <c r="BJ134" s="156">
        <f t="shared" si="14"/>
      </c>
      <c r="BK134" s="189">
        <f t="shared" si="20"/>
      </c>
      <c r="BL134" s="225">
        <f t="shared" si="15"/>
        <v>1000000000</v>
      </c>
      <c r="BM134" s="225">
        <v>1000000</v>
      </c>
      <c r="BN134" s="225">
        <v>1000000000</v>
      </c>
    </row>
    <row r="135" spans="5:66" ht="16.5" customHeight="1">
      <c r="E135" s="204"/>
      <c r="F135" s="25"/>
      <c r="G135" s="484" t="s">
        <v>85</v>
      </c>
      <c r="H135" s="484"/>
      <c r="I135" s="484"/>
      <c r="J135" s="484"/>
      <c r="K135" s="484"/>
      <c r="L135" s="484"/>
      <c r="M135" s="484"/>
      <c r="N135" s="484"/>
      <c r="O135" s="484"/>
      <c r="P135" s="484"/>
      <c r="Q135" s="203"/>
      <c r="R135" s="308"/>
      <c r="S135" s="309"/>
      <c r="T135" s="309"/>
      <c r="U135" s="309"/>
      <c r="V135" s="309"/>
      <c r="W135" s="309"/>
      <c r="X135" s="309"/>
      <c r="Y135" s="310"/>
      <c r="Z135" s="314">
        <f t="shared" si="23"/>
        <v>0</v>
      </c>
      <c r="AA135" s="314"/>
      <c r="AB135" s="314"/>
      <c r="AC135" s="314"/>
      <c r="AD135" s="314"/>
      <c r="AE135" s="308"/>
      <c r="AF135" s="309"/>
      <c r="AG135" s="309"/>
      <c r="AH135" s="309"/>
      <c r="AI135" s="309"/>
      <c r="AJ135" s="309"/>
      <c r="AK135" s="309"/>
      <c r="AL135" s="310"/>
      <c r="AM135" s="313">
        <f t="shared" si="21"/>
        <v>0</v>
      </c>
      <c r="AN135" s="314"/>
      <c r="AO135" s="314"/>
      <c r="AP135" s="314"/>
      <c r="AQ135" s="315"/>
      <c r="AS135" s="149">
        <f t="shared" si="12"/>
      </c>
      <c r="AV135" s="232">
        <f t="shared" si="16"/>
        <v>0</v>
      </c>
      <c r="AW135" s="232">
        <f t="shared" si="17"/>
        <v>0</v>
      </c>
      <c r="AX135" s="236"/>
      <c r="AY135" s="167">
        <v>12</v>
      </c>
      <c r="AZ135" s="172" t="str">
        <f t="shared" si="13"/>
        <v>無無</v>
      </c>
      <c r="BA135" s="169">
        <f t="shared" si="22"/>
      </c>
      <c r="BB135" s="175" t="s">
        <v>276</v>
      </c>
      <c r="BC135" s="176"/>
      <c r="BD135" s="172" t="str">
        <f t="shared" si="18"/>
        <v>-</v>
      </c>
      <c r="BE135" s="169">
        <f t="shared" si="19"/>
      </c>
      <c r="BF135" s="175" t="s">
        <v>276</v>
      </c>
      <c r="BG135" s="176"/>
      <c r="BH135" s="175" t="s">
        <v>276</v>
      </c>
      <c r="BI135" s="177"/>
      <c r="BJ135" s="156">
        <f t="shared" si="14"/>
      </c>
      <c r="BK135" s="189">
        <f t="shared" si="20"/>
      </c>
      <c r="BL135" s="225">
        <f t="shared" si="15"/>
        <v>1000000000</v>
      </c>
      <c r="BM135" s="225">
        <v>1000000</v>
      </c>
      <c r="BN135" s="225">
        <v>1000000000</v>
      </c>
    </row>
    <row r="136" spans="5:66" ht="16.5" customHeight="1">
      <c r="E136" s="204"/>
      <c r="F136" s="25"/>
      <c r="G136" s="484" t="s">
        <v>210</v>
      </c>
      <c r="H136" s="484"/>
      <c r="I136" s="484"/>
      <c r="J136" s="484"/>
      <c r="K136" s="484"/>
      <c r="L136" s="484"/>
      <c r="M136" s="484"/>
      <c r="N136" s="484"/>
      <c r="O136" s="484"/>
      <c r="P136" s="484"/>
      <c r="Q136" s="204"/>
      <c r="R136" s="308"/>
      <c r="S136" s="309"/>
      <c r="T136" s="309"/>
      <c r="U136" s="309"/>
      <c r="V136" s="309"/>
      <c r="W136" s="309"/>
      <c r="X136" s="309"/>
      <c r="Y136" s="310"/>
      <c r="Z136" s="314">
        <f t="shared" si="23"/>
        <v>0</v>
      </c>
      <c r="AA136" s="314"/>
      <c r="AB136" s="314"/>
      <c r="AC136" s="314"/>
      <c r="AD136" s="314"/>
      <c r="AE136" s="308"/>
      <c r="AF136" s="309"/>
      <c r="AG136" s="309"/>
      <c r="AH136" s="309"/>
      <c r="AI136" s="309"/>
      <c r="AJ136" s="309"/>
      <c r="AK136" s="309"/>
      <c r="AL136" s="310"/>
      <c r="AM136" s="313">
        <f t="shared" si="21"/>
        <v>0</v>
      </c>
      <c r="AN136" s="314"/>
      <c r="AO136" s="314"/>
      <c r="AP136" s="314"/>
      <c r="AQ136" s="315"/>
      <c r="AS136" s="149">
        <f t="shared" si="12"/>
      </c>
      <c r="AV136" s="232">
        <f t="shared" si="16"/>
        <v>0</v>
      </c>
      <c r="AW136" s="232">
        <f t="shared" si="17"/>
        <v>0</v>
      </c>
      <c r="AX136" s="236"/>
      <c r="AY136" s="167">
        <v>13</v>
      </c>
      <c r="AZ136" s="172" t="str">
        <f t="shared" si="13"/>
        <v>無無</v>
      </c>
      <c r="BA136" s="169">
        <f t="shared" si="22"/>
      </c>
      <c r="BB136" s="175" t="s">
        <v>276</v>
      </c>
      <c r="BC136" s="176"/>
      <c r="BD136" s="172" t="str">
        <f t="shared" si="18"/>
        <v>-</v>
      </c>
      <c r="BE136" s="169">
        <f t="shared" si="19"/>
      </c>
      <c r="BF136" s="175" t="s">
        <v>276</v>
      </c>
      <c r="BG136" s="176"/>
      <c r="BH136" s="175" t="s">
        <v>276</v>
      </c>
      <c r="BI136" s="177"/>
      <c r="BJ136" s="156">
        <f t="shared" si="14"/>
      </c>
      <c r="BK136" s="189">
        <f t="shared" si="20"/>
      </c>
      <c r="BL136" s="225">
        <f t="shared" si="15"/>
        <v>1000000000</v>
      </c>
      <c r="BM136" s="225">
        <v>1000000</v>
      </c>
      <c r="BN136" s="225">
        <v>1000000000</v>
      </c>
    </row>
    <row r="137" spans="5:66" ht="16.5" customHeight="1">
      <c r="E137" s="204"/>
      <c r="F137" s="25"/>
      <c r="G137" s="630" t="s">
        <v>87</v>
      </c>
      <c r="H137" s="630"/>
      <c r="I137" s="630"/>
      <c r="J137" s="630"/>
      <c r="K137" s="630"/>
      <c r="L137" s="630"/>
      <c r="M137" s="630"/>
      <c r="N137" s="630"/>
      <c r="O137" s="630"/>
      <c r="P137" s="630"/>
      <c r="Q137" s="203"/>
      <c r="R137" s="308"/>
      <c r="S137" s="309"/>
      <c r="T137" s="309"/>
      <c r="U137" s="309"/>
      <c r="V137" s="309"/>
      <c r="W137" s="309"/>
      <c r="X137" s="309"/>
      <c r="Y137" s="310"/>
      <c r="Z137" s="314">
        <f t="shared" si="23"/>
        <v>0</v>
      </c>
      <c r="AA137" s="314"/>
      <c r="AB137" s="314"/>
      <c r="AC137" s="314"/>
      <c r="AD137" s="314"/>
      <c r="AE137" s="308"/>
      <c r="AF137" s="309"/>
      <c r="AG137" s="309"/>
      <c r="AH137" s="309"/>
      <c r="AI137" s="309"/>
      <c r="AJ137" s="309"/>
      <c r="AK137" s="309"/>
      <c r="AL137" s="310"/>
      <c r="AM137" s="313">
        <f t="shared" si="21"/>
        <v>0</v>
      </c>
      <c r="AN137" s="314"/>
      <c r="AO137" s="314"/>
      <c r="AP137" s="314"/>
      <c r="AQ137" s="315"/>
      <c r="AS137" s="149">
        <f t="shared" si="12"/>
      </c>
      <c r="AV137" s="232">
        <f t="shared" si="16"/>
        <v>0</v>
      </c>
      <c r="AW137" s="232">
        <f t="shared" si="17"/>
        <v>0</v>
      </c>
      <c r="AX137" s="236"/>
      <c r="AY137" s="167">
        <v>14</v>
      </c>
      <c r="AZ137" s="172" t="str">
        <f t="shared" si="13"/>
        <v>無無</v>
      </c>
      <c r="BA137" s="169">
        <f t="shared" si="22"/>
      </c>
      <c r="BB137" s="175" t="s">
        <v>276</v>
      </c>
      <c r="BC137" s="176"/>
      <c r="BD137" s="172" t="str">
        <f t="shared" si="18"/>
        <v>-</v>
      </c>
      <c r="BE137" s="169">
        <f t="shared" si="19"/>
      </c>
      <c r="BF137" s="175" t="s">
        <v>276</v>
      </c>
      <c r="BG137" s="176"/>
      <c r="BH137" s="175" t="s">
        <v>276</v>
      </c>
      <c r="BI137" s="177"/>
      <c r="BJ137" s="156">
        <f t="shared" si="14"/>
      </c>
      <c r="BK137" s="189">
        <f t="shared" si="20"/>
      </c>
      <c r="BL137" s="225">
        <f t="shared" si="15"/>
        <v>1000000000</v>
      </c>
      <c r="BM137" s="225">
        <v>1000000</v>
      </c>
      <c r="BN137" s="225">
        <v>1000000000</v>
      </c>
    </row>
    <row r="138" spans="5:66" ht="16.5" customHeight="1">
      <c r="E138" s="204"/>
      <c r="F138" s="25"/>
      <c r="G138" s="484" t="s">
        <v>88</v>
      </c>
      <c r="H138" s="484"/>
      <c r="I138" s="484"/>
      <c r="J138" s="484"/>
      <c r="K138" s="484"/>
      <c r="L138" s="484"/>
      <c r="M138" s="484"/>
      <c r="N138" s="484"/>
      <c r="O138" s="484"/>
      <c r="P138" s="484"/>
      <c r="Q138" s="203"/>
      <c r="R138" s="308"/>
      <c r="S138" s="309"/>
      <c r="T138" s="309"/>
      <c r="U138" s="309"/>
      <c r="V138" s="309"/>
      <c r="W138" s="309"/>
      <c r="X138" s="309"/>
      <c r="Y138" s="310"/>
      <c r="Z138" s="314">
        <f t="shared" si="23"/>
        <v>0</v>
      </c>
      <c r="AA138" s="314"/>
      <c r="AB138" s="314"/>
      <c r="AC138" s="314"/>
      <c r="AD138" s="314"/>
      <c r="AE138" s="308" t="str">
        <f>Z102</f>
        <v>-</v>
      </c>
      <c r="AF138" s="309"/>
      <c r="AG138" s="309"/>
      <c r="AH138" s="309"/>
      <c r="AI138" s="309"/>
      <c r="AJ138" s="309"/>
      <c r="AK138" s="309"/>
      <c r="AL138" s="310"/>
      <c r="AM138" s="313">
        <f t="shared" si="21"/>
        <v>0</v>
      </c>
      <c r="AN138" s="314"/>
      <c r="AO138" s="314"/>
      <c r="AP138" s="314"/>
      <c r="AQ138" s="315"/>
      <c r="AS138" s="149">
        <f t="shared" si="12"/>
      </c>
      <c r="AV138" s="232">
        <f t="shared" si="16"/>
        <v>0</v>
      </c>
      <c r="AW138" s="232">
        <f t="shared" si="17"/>
        <v>0</v>
      </c>
      <c r="AX138" s="236"/>
      <c r="AY138" s="167">
        <v>15</v>
      </c>
      <c r="AZ138" s="172" t="str">
        <f t="shared" si="13"/>
        <v>無無</v>
      </c>
      <c r="BA138" s="169">
        <f t="shared" si="22"/>
      </c>
      <c r="BB138" s="175" t="s">
        <v>276</v>
      </c>
      <c r="BC138" s="176"/>
      <c r="BD138" s="172" t="str">
        <f t="shared" si="18"/>
        <v>-</v>
      </c>
      <c r="BE138" s="169">
        <f>IF(ISNA(VLOOKUP(BD138,BD$75:BE$91,2,FALSE))=TRUE,"",VLOOKUP(BD138,BD$75:BE$91,2,FALSE))</f>
      </c>
      <c r="BF138" s="175" t="s">
        <v>276</v>
      </c>
      <c r="BG138" s="176"/>
      <c r="BH138" s="172" t="str">
        <f>IF(BG$142=0,IF(AE138=Z$102,"正","誤消"),"-")</f>
        <v>-</v>
      </c>
      <c r="BI138" s="182">
        <f>IF(ISNA(VLOOKUP(BH138,BH$75:BI$91,2,FALSE))=TRUE,"",VLOOKUP(BH138,BH$75:BI$91,2,FALSE))</f>
      </c>
      <c r="BJ138" s="156">
        <f t="shared" si="14"/>
      </c>
      <c r="BK138" s="189">
        <f t="shared" si="20"/>
      </c>
      <c r="BL138" s="225">
        <f t="shared" si="15"/>
        <v>1000000000</v>
      </c>
      <c r="BM138" s="225">
        <v>1000000</v>
      </c>
      <c r="BN138" s="225">
        <v>1000000000</v>
      </c>
    </row>
    <row r="139" spans="5:66" ht="16.5" customHeight="1">
      <c r="E139" s="204"/>
      <c r="F139" s="26"/>
      <c r="G139" s="628" t="s">
        <v>461</v>
      </c>
      <c r="H139" s="628"/>
      <c r="I139" s="628"/>
      <c r="J139" s="628"/>
      <c r="K139" s="628"/>
      <c r="L139" s="628"/>
      <c r="M139" s="628"/>
      <c r="N139" s="628"/>
      <c r="O139" s="628"/>
      <c r="P139" s="628"/>
      <c r="Q139" s="19"/>
      <c r="R139" s="308"/>
      <c r="S139" s="309"/>
      <c r="T139" s="309"/>
      <c r="U139" s="309"/>
      <c r="V139" s="309"/>
      <c r="W139" s="309"/>
      <c r="X139" s="309"/>
      <c r="Y139" s="310"/>
      <c r="Z139" s="314">
        <f t="shared" si="23"/>
        <v>0</v>
      </c>
      <c r="AA139" s="314"/>
      <c r="AB139" s="314"/>
      <c r="AC139" s="314"/>
      <c r="AD139" s="314"/>
      <c r="AE139" s="308"/>
      <c r="AF139" s="309"/>
      <c r="AG139" s="309"/>
      <c r="AH139" s="309"/>
      <c r="AI139" s="309"/>
      <c r="AJ139" s="309"/>
      <c r="AK139" s="309"/>
      <c r="AL139" s="310"/>
      <c r="AM139" s="313">
        <f t="shared" si="21"/>
        <v>0</v>
      </c>
      <c r="AN139" s="314"/>
      <c r="AO139" s="314"/>
      <c r="AP139" s="314"/>
      <c r="AQ139" s="315"/>
      <c r="AS139" s="149">
        <f t="shared" si="12"/>
      </c>
      <c r="AV139" s="232">
        <f t="shared" si="16"/>
        <v>0</v>
      </c>
      <c r="AW139" s="232">
        <f t="shared" si="17"/>
        <v>0</v>
      </c>
      <c r="AX139" s="236"/>
      <c r="AY139" s="167">
        <v>16</v>
      </c>
      <c r="AZ139" s="172" t="str">
        <f t="shared" si="13"/>
        <v>無無</v>
      </c>
      <c r="BA139" s="169">
        <f>IF(ISNA(VLOOKUP(AZ139,AZ$75:BA$91,2,FALSE))=TRUE,"",VLOOKUP(AZ139,AZ$75:BA$91,2,FALSE))</f>
      </c>
      <c r="BB139" s="175" t="s">
        <v>276</v>
      </c>
      <c r="BC139" s="176"/>
      <c r="BD139" s="172" t="str">
        <f t="shared" si="18"/>
        <v>-</v>
      </c>
      <c r="BE139" s="169">
        <f t="shared" si="19"/>
      </c>
      <c r="BF139" s="175" t="s">
        <v>276</v>
      </c>
      <c r="BG139" s="176"/>
      <c r="BH139" s="175" t="s">
        <v>276</v>
      </c>
      <c r="BI139" s="177"/>
      <c r="BJ139" s="156">
        <f t="shared" si="14"/>
      </c>
      <c r="BK139" s="189">
        <f t="shared" si="20"/>
      </c>
      <c r="BL139" s="225">
        <f t="shared" si="15"/>
        <v>1000000000</v>
      </c>
      <c r="BM139" s="225">
        <v>1000000</v>
      </c>
      <c r="BN139" s="225">
        <v>1000000000</v>
      </c>
    </row>
    <row r="140" spans="5:66" ht="16.5" customHeight="1">
      <c r="E140" s="148"/>
      <c r="F140" s="27"/>
      <c r="G140" s="629" t="s">
        <v>89</v>
      </c>
      <c r="H140" s="629"/>
      <c r="I140" s="629"/>
      <c r="J140" s="629"/>
      <c r="K140" s="629"/>
      <c r="L140" s="629"/>
      <c r="M140" s="629"/>
      <c r="N140" s="629"/>
      <c r="O140" s="629"/>
      <c r="P140" s="629"/>
      <c r="Q140" s="21"/>
      <c r="R140" s="625"/>
      <c r="S140" s="626"/>
      <c r="T140" s="626"/>
      <c r="U140" s="626"/>
      <c r="V140" s="626"/>
      <c r="W140" s="626"/>
      <c r="X140" s="626"/>
      <c r="Y140" s="627"/>
      <c r="Z140" s="314">
        <f>IF(OR(AV$141=0,AV140=0),0,ROUNDDOWN((R140/R$141),4)*100)</f>
        <v>0</v>
      </c>
      <c r="AA140" s="314"/>
      <c r="AB140" s="314"/>
      <c r="AC140" s="314"/>
      <c r="AD140" s="314"/>
      <c r="AE140" s="625"/>
      <c r="AF140" s="626"/>
      <c r="AG140" s="626"/>
      <c r="AH140" s="626"/>
      <c r="AI140" s="626"/>
      <c r="AJ140" s="626"/>
      <c r="AK140" s="626"/>
      <c r="AL140" s="627"/>
      <c r="AM140" s="313">
        <f>IF(OR(AW$141=0,AW140=0),0,ROUNDDOWN((AE140/AE$141),4)*100)</f>
        <v>0</v>
      </c>
      <c r="AN140" s="314"/>
      <c r="AO140" s="314"/>
      <c r="AP140" s="314"/>
      <c r="AQ140" s="315"/>
      <c r="AS140" s="149">
        <f t="shared" si="12"/>
      </c>
      <c r="AV140" s="233">
        <f>IF(R140="-",0,R140)</f>
        <v>0</v>
      </c>
      <c r="AW140" s="233">
        <f t="shared" si="17"/>
        <v>0</v>
      </c>
      <c r="AX140" s="236"/>
      <c r="AY140" s="167">
        <v>17</v>
      </c>
      <c r="AZ140" s="172" t="str">
        <f t="shared" si="13"/>
        <v>無無</v>
      </c>
      <c r="BA140" s="169">
        <f t="shared" si="22"/>
      </c>
      <c r="BB140" s="175" t="s">
        <v>276</v>
      </c>
      <c r="BC140" s="176"/>
      <c r="BD140" s="172" t="str">
        <f t="shared" si="18"/>
        <v>-</v>
      </c>
      <c r="BE140" s="169">
        <f t="shared" si="19"/>
      </c>
      <c r="BF140" s="175" t="s">
        <v>276</v>
      </c>
      <c r="BG140" s="176"/>
      <c r="BH140" s="175" t="s">
        <v>276</v>
      </c>
      <c r="BI140" s="177"/>
      <c r="BJ140" s="156">
        <f t="shared" si="14"/>
      </c>
      <c r="BK140" s="189">
        <f t="shared" si="20"/>
      </c>
      <c r="BL140" s="225">
        <f t="shared" si="15"/>
        <v>1000000000</v>
      </c>
      <c r="BM140" s="225">
        <v>1000000</v>
      </c>
      <c r="BN140" s="225">
        <v>1000000000</v>
      </c>
    </row>
    <row r="141" spans="5:66" ht="16.5" customHeight="1" thickBot="1">
      <c r="E141" s="148"/>
      <c r="F141" s="28"/>
      <c r="G141" s="282" t="s">
        <v>279</v>
      </c>
      <c r="H141" s="282"/>
      <c r="I141" s="282"/>
      <c r="J141" s="282"/>
      <c r="K141" s="282"/>
      <c r="L141" s="282"/>
      <c r="M141" s="282"/>
      <c r="N141" s="282"/>
      <c r="O141" s="282"/>
      <c r="P141" s="282"/>
      <c r="Q141" s="29"/>
      <c r="R141" s="618">
        <f>SUM(R124:Y140)</f>
        <v>0</v>
      </c>
      <c r="S141" s="619"/>
      <c r="T141" s="619"/>
      <c r="U141" s="619"/>
      <c r="V141" s="619"/>
      <c r="W141" s="619"/>
      <c r="X141" s="619"/>
      <c r="Y141" s="620"/>
      <c r="Z141" s="312">
        <v>100</v>
      </c>
      <c r="AA141" s="312"/>
      <c r="AB141" s="312"/>
      <c r="AC141" s="312"/>
      <c r="AD141" s="312"/>
      <c r="AE141" s="618" t="str">
        <f>Z108</f>
        <v>-</v>
      </c>
      <c r="AF141" s="619"/>
      <c r="AG141" s="619"/>
      <c r="AH141" s="619"/>
      <c r="AI141" s="619"/>
      <c r="AJ141" s="619"/>
      <c r="AK141" s="619"/>
      <c r="AL141" s="620"/>
      <c r="AM141" s="312">
        <v>100</v>
      </c>
      <c r="AN141" s="312"/>
      <c r="AO141" s="312"/>
      <c r="AP141" s="312"/>
      <c r="AQ141" s="526"/>
      <c r="AS141" s="149" t="str">
        <f t="shared" si="12"/>
        <v>←残高が未記入。</v>
      </c>
      <c r="AV141" s="234">
        <f>IF(R141="-",0,R141)</f>
        <v>0</v>
      </c>
      <c r="AW141" s="234">
        <f t="shared" si="17"/>
        <v>0</v>
      </c>
      <c r="AX141" s="236"/>
      <c r="AY141" s="167">
        <v>18</v>
      </c>
      <c r="AZ141" s="179" t="str">
        <f t="shared" si="13"/>
        <v>有無</v>
      </c>
      <c r="BA141" s="169" t="str">
        <f t="shared" si="22"/>
        <v>残高が未記入。</v>
      </c>
      <c r="BB141" s="179" t="str">
        <f>CONCATENATE(IF(AV141=SUM(AV124:AV140),"合","不"),IF(AND(SUM(AW124:AW140)&lt;=AW141,AW141&lt;=(SUM(AW124:AW140)+18)),"合","不"))</f>
        <v>合合</v>
      </c>
      <c r="BC141" s="178">
        <f>IF(ISNA(VLOOKUP(BB141,BB$75:BC$91,2,FALSE))=TRUE,"",VLOOKUP(BB141,BB$75:BC$91,2,FALSE))</f>
      </c>
      <c r="BD141" s="179" t="str">
        <f t="shared" si="18"/>
        <v>-</v>
      </c>
      <c r="BE141" s="169">
        <f t="shared" si="19"/>
      </c>
      <c r="BF141" s="180" t="s">
        <v>276</v>
      </c>
      <c r="BG141" s="176"/>
      <c r="BH141" s="179" t="str">
        <f>IF(BG$142=0,IF(AE141=Z$108,"正","誤計"),"-")</f>
        <v>-</v>
      </c>
      <c r="BI141" s="182">
        <f>IF(ISNA(VLOOKUP(BH141,BH$75:BI$91,2,FALSE))=TRUE,"",VLOOKUP(BH141,BH$75:BI$91,2,FALSE))</f>
      </c>
      <c r="BJ141" s="156" t="str">
        <f t="shared" si="14"/>
        <v>←</v>
      </c>
      <c r="BK141" s="220" t="str">
        <f t="shared" si="20"/>
        <v>←残高が未記入。</v>
      </c>
      <c r="BL141" s="225">
        <f t="shared" si="15"/>
        <v>1000000000</v>
      </c>
      <c r="BM141" s="225">
        <v>1000000</v>
      </c>
      <c r="BN141" s="225">
        <v>1000000000</v>
      </c>
    </row>
    <row r="142" spans="5:63" ht="16.5" customHeight="1" thickBot="1">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Z142" s="184">
        <f>COUNTIF(AZ124:AZ141,"無無")</f>
        <v>17</v>
      </c>
      <c r="BA142" s="182">
        <f>IF(AZ142=AY141,"｢該当なし」","")</f>
      </c>
      <c r="BB142" s="153"/>
      <c r="BC142" s="153"/>
      <c r="BD142" s="153"/>
      <c r="BF142" s="181" t="s">
        <v>424</v>
      </c>
      <c r="BG142" s="164">
        <f>(4*AY141)-(COUNTIF(BA124:BA141,"")+COUNTIF(BC124:BC141,"")+COUNTIF(BE124:BE141,"")+COUNTIF(BG124:BG141,""))</f>
        <v>1</v>
      </c>
      <c r="BH142" s="153"/>
      <c r="BI142" s="153"/>
      <c r="BJ142" s="181" t="s">
        <v>425</v>
      </c>
      <c r="BK142" s="164">
        <f>AY141-COUNTIF(BJ124:BJ141,"")</f>
        <v>1</v>
      </c>
    </row>
    <row r="143" spans="5:53" ht="16.5" customHeight="1">
      <c r="E143" s="204"/>
      <c r="F143" s="204" t="s">
        <v>55</v>
      </c>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t="s">
        <v>211</v>
      </c>
      <c r="AQ143" s="204"/>
      <c r="AR143" s="204"/>
      <c r="AY143" s="183"/>
      <c r="AZ143" s="183"/>
      <c r="BA143" s="183"/>
    </row>
    <row r="144" spans="5:53" ht="13.5" customHeight="1">
      <c r="E144" s="204"/>
      <c r="F144" s="204"/>
      <c r="G144" s="204" t="s">
        <v>56</v>
      </c>
      <c r="H144" s="357" t="s">
        <v>478</v>
      </c>
      <c r="I144" s="357"/>
      <c r="J144" s="357"/>
      <c r="K144" s="357"/>
      <c r="L144" s="357"/>
      <c r="M144" s="357"/>
      <c r="N144" s="357"/>
      <c r="O144" s="357"/>
      <c r="P144" s="357"/>
      <c r="Q144" s="357"/>
      <c r="R144" s="357"/>
      <c r="S144" s="357"/>
      <c r="T144" s="357"/>
      <c r="U144" s="357"/>
      <c r="V144" s="357"/>
      <c r="W144" s="357"/>
      <c r="X144" s="357"/>
      <c r="Y144" s="357"/>
      <c r="Z144" s="357"/>
      <c r="AA144" s="357"/>
      <c r="AB144" s="357"/>
      <c r="AC144" s="357"/>
      <c r="AD144" s="357"/>
      <c r="AE144" s="357"/>
      <c r="AF144" s="357"/>
      <c r="AG144" s="357"/>
      <c r="AH144" s="357"/>
      <c r="AI144" s="357"/>
      <c r="AJ144" s="357"/>
      <c r="AK144" s="357"/>
      <c r="AL144" s="357"/>
      <c r="AM144" s="357"/>
      <c r="AN144" s="357"/>
      <c r="AO144" s="357"/>
      <c r="AP144" s="357"/>
      <c r="AQ144" s="204"/>
      <c r="AR144" s="204"/>
      <c r="AY144" s="183"/>
      <c r="AZ144" s="183"/>
      <c r="BA144" s="183"/>
    </row>
    <row r="145" spans="5:53" ht="13.5" customHeight="1">
      <c r="E145" s="204"/>
      <c r="F145" s="204"/>
      <c r="G145" s="204"/>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204"/>
      <c r="AR145" s="204"/>
      <c r="AY145" s="183"/>
      <c r="AZ145" s="183"/>
      <c r="BA145" s="183"/>
    </row>
    <row r="146" spans="5:53" ht="16.5" customHeight="1">
      <c r="E146" s="204"/>
      <c r="F146" s="204"/>
      <c r="G146" s="204" t="s">
        <v>90</v>
      </c>
      <c r="H146" s="204" t="s">
        <v>91</v>
      </c>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Y146" s="183"/>
      <c r="AZ146" s="183"/>
      <c r="BA146" s="183"/>
    </row>
    <row r="147" spans="5:44" ht="16.5" customHeight="1">
      <c r="E147" s="204"/>
      <c r="F147" s="204"/>
      <c r="G147" s="204" t="s">
        <v>92</v>
      </c>
      <c r="H147" s="204" t="s">
        <v>93</v>
      </c>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row>
    <row r="148" spans="5:44" ht="16.5" customHeight="1">
      <c r="E148" s="204"/>
      <c r="F148" s="204"/>
      <c r="G148" s="9" t="s">
        <v>95</v>
      </c>
      <c r="H148" s="357" t="s">
        <v>301</v>
      </c>
      <c r="I148" s="357"/>
      <c r="J148" s="357"/>
      <c r="K148" s="357"/>
      <c r="L148" s="357"/>
      <c r="M148" s="357"/>
      <c r="N148" s="357"/>
      <c r="O148" s="357"/>
      <c r="P148" s="357"/>
      <c r="Q148" s="357"/>
      <c r="R148" s="357"/>
      <c r="S148" s="357"/>
      <c r="T148" s="357"/>
      <c r="U148" s="357"/>
      <c r="V148" s="357"/>
      <c r="W148" s="357"/>
      <c r="X148" s="357"/>
      <c r="Y148" s="357"/>
      <c r="Z148" s="357"/>
      <c r="AA148" s="357"/>
      <c r="AB148" s="357"/>
      <c r="AC148" s="357"/>
      <c r="AD148" s="357"/>
      <c r="AE148" s="357"/>
      <c r="AF148" s="357"/>
      <c r="AG148" s="357"/>
      <c r="AH148" s="357"/>
      <c r="AI148" s="357"/>
      <c r="AJ148" s="357"/>
      <c r="AK148" s="357"/>
      <c r="AL148" s="357"/>
      <c r="AM148" s="357"/>
      <c r="AN148" s="357"/>
      <c r="AO148" s="357"/>
      <c r="AP148" s="357"/>
      <c r="AQ148" s="204"/>
      <c r="AR148" s="204"/>
    </row>
    <row r="149" spans="5:44" ht="16.5" customHeight="1">
      <c r="E149" s="204"/>
      <c r="F149" s="204"/>
      <c r="G149" s="9"/>
      <c r="H149" s="357"/>
      <c r="I149" s="357"/>
      <c r="J149" s="357"/>
      <c r="K149" s="357"/>
      <c r="L149" s="357"/>
      <c r="M149" s="357"/>
      <c r="N149" s="357"/>
      <c r="O149" s="357"/>
      <c r="P149" s="357"/>
      <c r="Q149" s="357"/>
      <c r="R149" s="357"/>
      <c r="S149" s="357"/>
      <c r="T149" s="357"/>
      <c r="U149" s="357"/>
      <c r="V149" s="357"/>
      <c r="W149" s="357"/>
      <c r="X149" s="357"/>
      <c r="Y149" s="357"/>
      <c r="Z149" s="357"/>
      <c r="AA149" s="357"/>
      <c r="AB149" s="357"/>
      <c r="AC149" s="357"/>
      <c r="AD149" s="357"/>
      <c r="AE149" s="357"/>
      <c r="AF149" s="357"/>
      <c r="AG149" s="357"/>
      <c r="AH149" s="357"/>
      <c r="AI149" s="357"/>
      <c r="AJ149" s="357"/>
      <c r="AK149" s="357"/>
      <c r="AL149" s="357"/>
      <c r="AM149" s="357"/>
      <c r="AN149" s="357"/>
      <c r="AO149" s="357"/>
      <c r="AP149" s="357"/>
      <c r="AQ149" s="204"/>
      <c r="AR149" s="204"/>
    </row>
    <row r="150" spans="5:44" ht="16.5" customHeight="1">
      <c r="E150" s="204"/>
      <c r="F150" s="204"/>
      <c r="G150" s="9"/>
      <c r="H150" s="357"/>
      <c r="I150" s="357"/>
      <c r="J150" s="357"/>
      <c r="K150" s="357"/>
      <c r="L150" s="357"/>
      <c r="M150" s="357"/>
      <c r="N150" s="357"/>
      <c r="O150" s="357"/>
      <c r="P150" s="357"/>
      <c r="Q150" s="357"/>
      <c r="R150" s="357"/>
      <c r="S150" s="357"/>
      <c r="T150" s="357"/>
      <c r="U150" s="357"/>
      <c r="V150" s="357"/>
      <c r="W150" s="357"/>
      <c r="X150" s="357"/>
      <c r="Y150" s="357"/>
      <c r="Z150" s="357"/>
      <c r="AA150" s="357"/>
      <c r="AB150" s="357"/>
      <c r="AC150" s="357"/>
      <c r="AD150" s="357"/>
      <c r="AE150" s="357"/>
      <c r="AF150" s="357"/>
      <c r="AG150" s="357"/>
      <c r="AH150" s="357"/>
      <c r="AI150" s="357"/>
      <c r="AJ150" s="357"/>
      <c r="AK150" s="357"/>
      <c r="AL150" s="357"/>
      <c r="AM150" s="357"/>
      <c r="AN150" s="357"/>
      <c r="AO150" s="357"/>
      <c r="AP150" s="357"/>
      <c r="AQ150" s="204"/>
      <c r="AR150" s="204"/>
    </row>
    <row r="151" spans="5:44" ht="16.5" customHeight="1">
      <c r="E151" s="204"/>
      <c r="F151" s="204"/>
      <c r="G151" s="9" t="s">
        <v>57</v>
      </c>
      <c r="H151" s="357" t="s">
        <v>459</v>
      </c>
      <c r="I151" s="357"/>
      <c r="J151" s="357"/>
      <c r="K151" s="357"/>
      <c r="L151" s="357"/>
      <c r="M151" s="357"/>
      <c r="N151" s="357"/>
      <c r="O151" s="357"/>
      <c r="P151" s="357"/>
      <c r="Q151" s="357"/>
      <c r="R151" s="357"/>
      <c r="S151" s="357"/>
      <c r="T151" s="357"/>
      <c r="U151" s="357"/>
      <c r="V151" s="357"/>
      <c r="W151" s="357"/>
      <c r="X151" s="357"/>
      <c r="Y151" s="357"/>
      <c r="Z151" s="357"/>
      <c r="AA151" s="357"/>
      <c r="AB151" s="357"/>
      <c r="AC151" s="357"/>
      <c r="AD151" s="357"/>
      <c r="AE151" s="357"/>
      <c r="AF151" s="357"/>
      <c r="AG151" s="357"/>
      <c r="AH151" s="357"/>
      <c r="AI151" s="357"/>
      <c r="AJ151" s="357"/>
      <c r="AK151" s="357"/>
      <c r="AL151" s="357"/>
      <c r="AM151" s="357"/>
      <c r="AN151" s="357"/>
      <c r="AO151" s="357"/>
      <c r="AP151" s="357"/>
      <c r="AQ151" s="204"/>
      <c r="AR151" s="204"/>
    </row>
    <row r="152" spans="5:44" ht="13.5" customHeight="1">
      <c r="E152" s="204"/>
      <c r="F152" s="204"/>
      <c r="G152" s="204" t="s">
        <v>58</v>
      </c>
      <c r="H152" s="357" t="s">
        <v>460</v>
      </c>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8"/>
      <c r="AJ152" s="668"/>
      <c r="AK152" s="668"/>
      <c r="AL152" s="668"/>
      <c r="AM152" s="668"/>
      <c r="AN152" s="668"/>
      <c r="AO152" s="668"/>
      <c r="AP152" s="668"/>
      <c r="AQ152" s="204"/>
      <c r="AR152" s="204"/>
    </row>
    <row r="153" spans="5:44" ht="13.5" customHeight="1">
      <c r="E153" s="204"/>
      <c r="F153" s="204"/>
      <c r="G153" s="204"/>
      <c r="H153" s="668"/>
      <c r="I153" s="668"/>
      <c r="J153" s="668"/>
      <c r="K153" s="668"/>
      <c r="L153" s="668"/>
      <c r="M153" s="668"/>
      <c r="N153" s="668"/>
      <c r="O153" s="668"/>
      <c r="P153" s="668"/>
      <c r="Q153" s="668"/>
      <c r="R153" s="668"/>
      <c r="S153" s="668"/>
      <c r="T153" s="668"/>
      <c r="U153" s="668"/>
      <c r="V153" s="668"/>
      <c r="W153" s="668"/>
      <c r="X153" s="668"/>
      <c r="Y153" s="668"/>
      <c r="Z153" s="668"/>
      <c r="AA153" s="668"/>
      <c r="AB153" s="668"/>
      <c r="AC153" s="668"/>
      <c r="AD153" s="668"/>
      <c r="AE153" s="668"/>
      <c r="AF153" s="668"/>
      <c r="AG153" s="668"/>
      <c r="AH153" s="668"/>
      <c r="AI153" s="668"/>
      <c r="AJ153" s="668"/>
      <c r="AK153" s="668"/>
      <c r="AL153" s="668"/>
      <c r="AM153" s="668"/>
      <c r="AN153" s="668"/>
      <c r="AO153" s="668"/>
      <c r="AP153" s="668"/>
      <c r="AQ153" s="204"/>
      <c r="AR153" s="204"/>
    </row>
    <row r="154" spans="5:44" ht="16.5" customHeight="1">
      <c r="E154" s="148"/>
      <c r="F154" s="148"/>
      <c r="G154" s="204" t="s">
        <v>96</v>
      </c>
      <c r="H154" s="204" t="s">
        <v>94</v>
      </c>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row>
    <row r="155" spans="5:44" ht="16.5" customHeight="1">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row>
    <row r="156" spans="5:44" ht="16.5" customHeight="1">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row>
    <row r="157" spans="5:46" ht="16.5" customHeight="1">
      <c r="E157" s="148"/>
      <c r="F157" s="150" t="str">
        <f>IF(BK175=0,"３　貸付金の金額別内訳","３．貸付金の金額別内訳")</f>
        <v>３．貸付金の金額別内訳</v>
      </c>
      <c r="G157" s="148"/>
      <c r="H157" s="148"/>
      <c r="I157" s="148"/>
      <c r="J157" s="148"/>
      <c r="K157" s="148"/>
      <c r="L157" s="148"/>
      <c r="M157" s="148"/>
      <c r="N157" s="148"/>
      <c r="O157" s="148"/>
      <c r="P157" s="148"/>
      <c r="Q157" s="148"/>
      <c r="R157" s="148"/>
      <c r="S157" s="148"/>
      <c r="T157" s="148"/>
      <c r="U157" s="148"/>
      <c r="V157" s="148"/>
      <c r="W157" s="148"/>
      <c r="X157" s="148"/>
      <c r="Y157" s="142"/>
      <c r="Z157" s="148"/>
      <c r="AA157" s="148"/>
      <c r="AB157" s="148"/>
      <c r="AC157" s="148"/>
      <c r="AD157" s="148"/>
      <c r="AE157" s="148"/>
      <c r="AF157" s="148"/>
      <c r="AG157" s="148"/>
      <c r="AH157" s="148"/>
      <c r="AI157" s="148"/>
      <c r="AJ157" s="148"/>
      <c r="AK157" s="148"/>
      <c r="AL157" s="148"/>
      <c r="AM157" s="148"/>
      <c r="AN157" s="148"/>
      <c r="AO157" s="148"/>
      <c r="AP157" s="148"/>
      <c r="AQ157" s="148"/>
      <c r="AR157" s="148"/>
      <c r="AT157" s="163" t="str">
        <f>IF(BK175=0,"（表3）エラーなし","！（表3）エラー情報あり")</f>
        <v>！（表3）エラー情報あり</v>
      </c>
    </row>
    <row r="158" spans="5:44" ht="7.5" customHeight="1">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row>
    <row r="159" spans="5:44" ht="14.25" customHeight="1" thickBot="1">
      <c r="E159" s="148"/>
      <c r="F159" s="351" t="s">
        <v>291</v>
      </c>
      <c r="G159" s="352"/>
      <c r="H159" s="352"/>
      <c r="I159" s="352"/>
      <c r="J159" s="352"/>
      <c r="K159" s="352"/>
      <c r="L159" s="352"/>
      <c r="M159" s="352"/>
      <c r="N159" s="352"/>
      <c r="O159" s="352"/>
      <c r="P159" s="352"/>
      <c r="Q159" s="353"/>
      <c r="R159" s="294" t="s">
        <v>97</v>
      </c>
      <c r="S159" s="295"/>
      <c r="T159" s="295"/>
      <c r="U159" s="295"/>
      <c r="V159" s="295"/>
      <c r="W159" s="295"/>
      <c r="X159" s="295"/>
      <c r="Y159" s="295"/>
      <c r="Z159" s="295"/>
      <c r="AA159" s="295"/>
      <c r="AB159" s="295"/>
      <c r="AC159" s="295"/>
      <c r="AD159" s="296"/>
      <c r="AE159" s="294" t="s">
        <v>78</v>
      </c>
      <c r="AF159" s="295"/>
      <c r="AG159" s="295"/>
      <c r="AH159" s="295"/>
      <c r="AI159" s="295"/>
      <c r="AJ159" s="295"/>
      <c r="AK159" s="295"/>
      <c r="AL159" s="295"/>
      <c r="AM159" s="580"/>
      <c r="AN159" s="580"/>
      <c r="AO159" s="580"/>
      <c r="AP159" s="580"/>
      <c r="AQ159" s="600"/>
      <c r="AR159" s="148"/>
    </row>
    <row r="160" spans="5:63" ht="14.25" customHeight="1" thickBot="1" thickTop="1">
      <c r="E160" s="148"/>
      <c r="F160" s="354"/>
      <c r="G160" s="355"/>
      <c r="H160" s="355"/>
      <c r="I160" s="355"/>
      <c r="J160" s="355"/>
      <c r="K160" s="355"/>
      <c r="L160" s="355"/>
      <c r="M160" s="355"/>
      <c r="N160" s="355"/>
      <c r="O160" s="355"/>
      <c r="P160" s="355"/>
      <c r="Q160" s="356"/>
      <c r="R160" s="622"/>
      <c r="S160" s="623"/>
      <c r="T160" s="623"/>
      <c r="U160" s="623"/>
      <c r="V160" s="623"/>
      <c r="W160" s="623"/>
      <c r="X160" s="623"/>
      <c r="Y160" s="624"/>
      <c r="Z160" s="291" t="s">
        <v>79</v>
      </c>
      <c r="AA160" s="292"/>
      <c r="AB160" s="292"/>
      <c r="AC160" s="292"/>
      <c r="AD160" s="293"/>
      <c r="AE160" s="300"/>
      <c r="AF160" s="301"/>
      <c r="AG160" s="301"/>
      <c r="AH160" s="301"/>
      <c r="AI160" s="301"/>
      <c r="AJ160" s="301"/>
      <c r="AK160" s="301"/>
      <c r="AL160" s="331"/>
      <c r="AM160" s="283" t="s">
        <v>79</v>
      </c>
      <c r="AN160" s="284"/>
      <c r="AO160" s="284"/>
      <c r="AP160" s="284"/>
      <c r="AQ160" s="425"/>
      <c r="AR160" s="148"/>
      <c r="AZ160" s="277" t="s">
        <v>354</v>
      </c>
      <c r="BA160" s="277"/>
      <c r="BB160" s="277" t="s">
        <v>355</v>
      </c>
      <c r="BC160" s="277"/>
      <c r="BD160" s="277" t="s">
        <v>408</v>
      </c>
      <c r="BE160" s="277"/>
      <c r="BF160" s="277" t="s">
        <v>409</v>
      </c>
      <c r="BG160" s="277"/>
      <c r="BH160" s="277" t="s">
        <v>356</v>
      </c>
      <c r="BI160" s="277"/>
      <c r="BJ160" s="156"/>
      <c r="BK160" s="222" t="s">
        <v>485</v>
      </c>
    </row>
    <row r="161" spans="5:66" ht="14.25" customHeight="1" thickBot="1" thickTop="1">
      <c r="E161" s="148"/>
      <c r="F161" s="31"/>
      <c r="G161" s="32"/>
      <c r="H161" s="32"/>
      <c r="I161" s="32"/>
      <c r="J161" s="32"/>
      <c r="K161" s="32"/>
      <c r="L161" s="32"/>
      <c r="M161" s="32"/>
      <c r="N161" s="32"/>
      <c r="O161" s="32"/>
      <c r="P161" s="32"/>
      <c r="Q161" s="33"/>
      <c r="R161" s="616" t="s">
        <v>71</v>
      </c>
      <c r="S161" s="614"/>
      <c r="T161" s="614"/>
      <c r="U161" s="614"/>
      <c r="V161" s="614"/>
      <c r="W161" s="614"/>
      <c r="X161" s="614"/>
      <c r="Y161" s="617"/>
      <c r="Z161" s="613" t="s">
        <v>72</v>
      </c>
      <c r="AA161" s="614"/>
      <c r="AB161" s="614"/>
      <c r="AC161" s="614"/>
      <c r="AD161" s="615"/>
      <c r="AE161" s="669" t="str">
        <f>$X$393</f>
        <v>千円</v>
      </c>
      <c r="AF161" s="670"/>
      <c r="AG161" s="670"/>
      <c r="AH161" s="670"/>
      <c r="AI161" s="670"/>
      <c r="AJ161" s="670"/>
      <c r="AK161" s="670"/>
      <c r="AL161" s="671"/>
      <c r="AM161" s="613" t="s">
        <v>80</v>
      </c>
      <c r="AN161" s="614"/>
      <c r="AO161" s="614"/>
      <c r="AP161" s="614"/>
      <c r="AQ161" s="615"/>
      <c r="AS161" s="149" t="str">
        <f aca="true" t="shared" si="24" ref="AS161:AS174">BK161</f>
        <v>　　（↓エラー情報↓）</v>
      </c>
      <c r="AV161" s="155" t="s">
        <v>437</v>
      </c>
      <c r="AW161" s="155" t="s">
        <v>438</v>
      </c>
      <c r="AZ161" s="199" t="s">
        <v>410</v>
      </c>
      <c r="BA161" s="198" t="s">
        <v>353</v>
      </c>
      <c r="BB161" s="199" t="s">
        <v>410</v>
      </c>
      <c r="BC161" s="198" t="s">
        <v>353</v>
      </c>
      <c r="BD161" s="199" t="s">
        <v>410</v>
      </c>
      <c r="BE161" s="198" t="s">
        <v>353</v>
      </c>
      <c r="BF161" s="199" t="s">
        <v>410</v>
      </c>
      <c r="BG161" s="198" t="s">
        <v>353</v>
      </c>
      <c r="BH161" s="199" t="s">
        <v>410</v>
      </c>
      <c r="BI161" s="198" t="s">
        <v>353</v>
      </c>
      <c r="BJ161" s="159"/>
      <c r="BK161" s="221" t="str">
        <f>IF(BK160="表示","　　（↓エラー情報↓）","")</f>
        <v>　　（↓エラー情報↓）</v>
      </c>
      <c r="BL161" s="155" t="s">
        <v>427</v>
      </c>
      <c r="BM161" s="155" t="s">
        <v>296</v>
      </c>
      <c r="BN161" s="155" t="s">
        <v>426</v>
      </c>
    </row>
    <row r="162" spans="5:66" ht="16.5" customHeight="1">
      <c r="E162" s="148"/>
      <c r="F162" s="23"/>
      <c r="G162" s="204"/>
      <c r="H162" s="34" t="s">
        <v>98</v>
      </c>
      <c r="I162" s="204" t="s">
        <v>99</v>
      </c>
      <c r="J162" s="204"/>
      <c r="K162" s="204"/>
      <c r="L162" s="204"/>
      <c r="M162" s="204"/>
      <c r="N162" s="204"/>
      <c r="O162" s="204"/>
      <c r="P162" s="204"/>
      <c r="Q162" s="204"/>
      <c r="R162" s="610"/>
      <c r="S162" s="611"/>
      <c r="T162" s="611"/>
      <c r="U162" s="611"/>
      <c r="V162" s="611"/>
      <c r="W162" s="611"/>
      <c r="X162" s="611"/>
      <c r="Y162" s="612"/>
      <c r="Z162" s="297">
        <f>IF(OR(AV$174=0,AV162=0),0,ROUNDDOWN(R162/R$174,4)*100)</f>
        <v>0</v>
      </c>
      <c r="AA162" s="298"/>
      <c r="AB162" s="298"/>
      <c r="AC162" s="298"/>
      <c r="AD162" s="321"/>
      <c r="AE162" s="610"/>
      <c r="AF162" s="611"/>
      <c r="AG162" s="611"/>
      <c r="AH162" s="611"/>
      <c r="AI162" s="611"/>
      <c r="AJ162" s="611"/>
      <c r="AK162" s="611"/>
      <c r="AL162" s="612"/>
      <c r="AM162" s="297">
        <f>IF(OR(AW$174=0,AW162=0),0,ROUNDDOWN(AE162/AE$174,4)*100)</f>
        <v>0</v>
      </c>
      <c r="AN162" s="298"/>
      <c r="AO162" s="298"/>
      <c r="AP162" s="298"/>
      <c r="AQ162" s="299"/>
      <c r="AS162" s="149">
        <f t="shared" si="24"/>
      </c>
      <c r="AV162" s="231">
        <f>IF(R162="-",0,R162)</f>
        <v>0</v>
      </c>
      <c r="AW162" s="231">
        <f>IF(AE162="-",0,AE162)</f>
        <v>0</v>
      </c>
      <c r="AX162" s="236"/>
      <c r="AY162" s="167">
        <v>1</v>
      </c>
      <c r="AZ162" s="168" t="str">
        <f aca="true" t="shared" si="25" ref="AZ162:AZ174">CONCATENATE(IF(OR(R162="",R162="-"),"無","有"),IF(OR(AE162="",AE162="-"),"無","有"))</f>
        <v>無無</v>
      </c>
      <c r="BA162" s="169">
        <f aca="true" t="shared" si="26" ref="BA162:BA173">IF(ISNA(VLOOKUP(AZ162,AZ$75:BA$91,2,FALSE))=TRUE,"",VLOOKUP(AZ162,AZ$75:BA$91,2,FALSE))</f>
      </c>
      <c r="BB162" s="170" t="s">
        <v>276</v>
      </c>
      <c r="BC162" s="171"/>
      <c r="BD162" s="168" t="str">
        <f aca="true" t="shared" si="27" ref="BD162:BD173">IF(AZ162="有有",IF(AW162/AV162&gt;BL162,"高額","ok"),"-")</f>
        <v>-</v>
      </c>
      <c r="BE162" s="169">
        <f aca="true" t="shared" si="28" ref="BE162:BE174">IF(ISNA(VLOOKUP(BD162,BD$75:BE$91,2,FALSE))=TRUE,"",VLOOKUP(BD162,BD$75:BE$91,2,FALSE))</f>
      </c>
      <c r="BF162" s="170" t="s">
        <v>276</v>
      </c>
      <c r="BG162" s="176"/>
      <c r="BH162" s="170" t="s">
        <v>276</v>
      </c>
      <c r="BI162" s="173"/>
      <c r="BJ162" s="156">
        <f aca="true" t="shared" si="29" ref="BJ162:BJ174">IF(AND(BA162="",BC162="",BE162="",BG162="",BI162=""),"","←")</f>
      </c>
      <c r="BK162" s="174">
        <f>IF(BK$160="表示",CONCATENATE(BJ162,BA162,BC162,BE162,BG162,BI162),"")</f>
      </c>
      <c r="BL162" s="225">
        <f aca="true" t="shared" si="30" ref="BL162:BL174">IF(Z$98="百万円",BM162,BN162)</f>
        <v>100</v>
      </c>
      <c r="BM162" s="225">
        <v>0.1</v>
      </c>
      <c r="BN162" s="225">
        <v>100</v>
      </c>
    </row>
    <row r="163" spans="5:66" ht="16.5" customHeight="1">
      <c r="E163" s="148"/>
      <c r="F163" s="25"/>
      <c r="G163" s="203"/>
      <c r="H163" s="211" t="s">
        <v>100</v>
      </c>
      <c r="I163" s="203" t="s">
        <v>101</v>
      </c>
      <c r="J163" s="203"/>
      <c r="K163" s="203"/>
      <c r="L163" s="203"/>
      <c r="M163" s="211" t="s">
        <v>102</v>
      </c>
      <c r="N163" s="203" t="s">
        <v>99</v>
      </c>
      <c r="O163" s="203"/>
      <c r="P163" s="203"/>
      <c r="Q163" s="203"/>
      <c r="R163" s="308"/>
      <c r="S163" s="309"/>
      <c r="T163" s="309"/>
      <c r="U163" s="309"/>
      <c r="V163" s="309"/>
      <c r="W163" s="309"/>
      <c r="X163" s="309"/>
      <c r="Y163" s="310"/>
      <c r="Z163" s="297">
        <f aca="true" t="shared" si="31" ref="Z163:Z171">IF(OR(AV$174=0,AV163=0),0,ROUNDDOWN(R163/R$174,4)*100)</f>
        <v>0</v>
      </c>
      <c r="AA163" s="298"/>
      <c r="AB163" s="298"/>
      <c r="AC163" s="298"/>
      <c r="AD163" s="321"/>
      <c r="AE163" s="308"/>
      <c r="AF163" s="309"/>
      <c r="AG163" s="309"/>
      <c r="AH163" s="309"/>
      <c r="AI163" s="309"/>
      <c r="AJ163" s="309"/>
      <c r="AK163" s="309"/>
      <c r="AL163" s="310"/>
      <c r="AM163" s="442">
        <f>IF(OR(AW$174=0,AW163=0),0,ROUNDDOWN(AE163/AE$174,4)*100)</f>
        <v>0</v>
      </c>
      <c r="AN163" s="443"/>
      <c r="AO163" s="443"/>
      <c r="AP163" s="443"/>
      <c r="AQ163" s="621"/>
      <c r="AS163" s="149">
        <f t="shared" si="24"/>
      </c>
      <c r="AV163" s="232">
        <f aca="true" t="shared" si="32" ref="AV163:AV171">IF(R163="-",0,R163)</f>
        <v>0</v>
      </c>
      <c r="AW163" s="232">
        <f aca="true" t="shared" si="33" ref="AW163:AW173">IF(AE163="-",0,AE163)</f>
        <v>0</v>
      </c>
      <c r="AX163" s="236"/>
      <c r="AY163" s="167">
        <v>2</v>
      </c>
      <c r="AZ163" s="172" t="str">
        <f t="shared" si="25"/>
        <v>無無</v>
      </c>
      <c r="BA163" s="169">
        <f t="shared" si="26"/>
      </c>
      <c r="BB163" s="175" t="s">
        <v>276</v>
      </c>
      <c r="BC163" s="176"/>
      <c r="BD163" s="172" t="str">
        <f t="shared" si="27"/>
        <v>-</v>
      </c>
      <c r="BE163" s="169">
        <f t="shared" si="28"/>
      </c>
      <c r="BF163" s="175" t="s">
        <v>276</v>
      </c>
      <c r="BG163" s="176"/>
      <c r="BH163" s="175" t="s">
        <v>276</v>
      </c>
      <c r="BI163" s="177"/>
      <c r="BJ163" s="156">
        <f t="shared" si="29"/>
      </c>
      <c r="BK163" s="189">
        <f aca="true" t="shared" si="34" ref="BK163:BK173">IF(BK$160="表示",CONCATENATE(BJ163,BA163,BC163,BE163,BG163,BI163),"")</f>
      </c>
      <c r="BL163" s="225">
        <f t="shared" si="30"/>
        <v>300</v>
      </c>
      <c r="BM163" s="225">
        <v>0.3</v>
      </c>
      <c r="BN163" s="225">
        <v>300</v>
      </c>
    </row>
    <row r="164" spans="5:66" ht="16.5" customHeight="1">
      <c r="E164" s="148"/>
      <c r="F164" s="25"/>
      <c r="G164" s="203"/>
      <c r="H164" s="211" t="s">
        <v>102</v>
      </c>
      <c r="I164" s="285" t="s">
        <v>103</v>
      </c>
      <c r="J164" s="285"/>
      <c r="K164" s="203"/>
      <c r="L164" s="203"/>
      <c r="M164" s="211" t="s">
        <v>104</v>
      </c>
      <c r="N164" s="285" t="s">
        <v>105</v>
      </c>
      <c r="O164" s="285"/>
      <c r="P164" s="285"/>
      <c r="Q164" s="67"/>
      <c r="R164" s="308"/>
      <c r="S164" s="309"/>
      <c r="T164" s="309"/>
      <c r="U164" s="309"/>
      <c r="V164" s="309"/>
      <c r="W164" s="309"/>
      <c r="X164" s="309"/>
      <c r="Y164" s="310"/>
      <c r="Z164" s="297">
        <f t="shared" si="31"/>
        <v>0</v>
      </c>
      <c r="AA164" s="298"/>
      <c r="AB164" s="298"/>
      <c r="AC164" s="298"/>
      <c r="AD164" s="321"/>
      <c r="AE164" s="308"/>
      <c r="AF164" s="309"/>
      <c r="AG164" s="309"/>
      <c r="AH164" s="309"/>
      <c r="AI164" s="309"/>
      <c r="AJ164" s="309"/>
      <c r="AK164" s="309"/>
      <c r="AL164" s="310"/>
      <c r="AM164" s="442">
        <f>IF(OR(AW$174=0,AW164=0),0,ROUNDDOWN(AE164/AE$174,4)*100)</f>
        <v>0</v>
      </c>
      <c r="AN164" s="443"/>
      <c r="AO164" s="443"/>
      <c r="AP164" s="443"/>
      <c r="AQ164" s="621"/>
      <c r="AS164" s="149">
        <f t="shared" si="24"/>
      </c>
      <c r="AV164" s="232">
        <f t="shared" si="32"/>
        <v>0</v>
      </c>
      <c r="AW164" s="232">
        <f t="shared" si="33"/>
        <v>0</v>
      </c>
      <c r="AX164" s="236"/>
      <c r="AY164" s="167">
        <v>3</v>
      </c>
      <c r="AZ164" s="172" t="str">
        <f t="shared" si="25"/>
        <v>無無</v>
      </c>
      <c r="BA164" s="169">
        <f t="shared" si="26"/>
      </c>
      <c r="BB164" s="175" t="s">
        <v>276</v>
      </c>
      <c r="BC164" s="176"/>
      <c r="BD164" s="172" t="str">
        <f t="shared" si="27"/>
        <v>-</v>
      </c>
      <c r="BE164" s="169">
        <f t="shared" si="28"/>
      </c>
      <c r="BF164" s="175" t="s">
        <v>276</v>
      </c>
      <c r="BG164" s="176"/>
      <c r="BH164" s="175" t="s">
        <v>276</v>
      </c>
      <c r="BI164" s="177"/>
      <c r="BJ164" s="156">
        <f t="shared" si="29"/>
      </c>
      <c r="BK164" s="189">
        <f t="shared" si="34"/>
      </c>
      <c r="BL164" s="225">
        <f t="shared" si="30"/>
        <v>500</v>
      </c>
      <c r="BM164" s="225">
        <v>0.5</v>
      </c>
      <c r="BN164" s="225">
        <v>500</v>
      </c>
    </row>
    <row r="165" spans="5:66" ht="16.5" customHeight="1">
      <c r="E165" s="148"/>
      <c r="F165" s="25"/>
      <c r="G165" s="203"/>
      <c r="H165" s="211" t="s">
        <v>104</v>
      </c>
      <c r="I165" s="285" t="s">
        <v>103</v>
      </c>
      <c r="J165" s="285"/>
      <c r="K165" s="203"/>
      <c r="L165" s="203"/>
      <c r="M165" s="211" t="s">
        <v>106</v>
      </c>
      <c r="N165" s="285" t="s">
        <v>290</v>
      </c>
      <c r="O165" s="285"/>
      <c r="P165" s="285"/>
      <c r="Q165" s="203"/>
      <c r="R165" s="308"/>
      <c r="S165" s="309"/>
      <c r="T165" s="309"/>
      <c r="U165" s="309"/>
      <c r="V165" s="309"/>
      <c r="W165" s="309"/>
      <c r="X165" s="309"/>
      <c r="Y165" s="310"/>
      <c r="Z165" s="297">
        <f t="shared" si="31"/>
        <v>0</v>
      </c>
      <c r="AA165" s="298"/>
      <c r="AB165" s="298"/>
      <c r="AC165" s="298"/>
      <c r="AD165" s="321"/>
      <c r="AE165" s="308"/>
      <c r="AF165" s="309"/>
      <c r="AG165" s="309"/>
      <c r="AH165" s="309"/>
      <c r="AI165" s="309"/>
      <c r="AJ165" s="309"/>
      <c r="AK165" s="309"/>
      <c r="AL165" s="310"/>
      <c r="AM165" s="442">
        <f aca="true" t="shared" si="35" ref="AM165:AM172">IF(OR(AW$174=0,AW165=0),0,ROUNDDOWN(AE165/AE$174,4)*100)</f>
        <v>0</v>
      </c>
      <c r="AN165" s="443"/>
      <c r="AO165" s="443"/>
      <c r="AP165" s="443"/>
      <c r="AQ165" s="621"/>
      <c r="AS165" s="149">
        <f t="shared" si="24"/>
      </c>
      <c r="AV165" s="232">
        <f t="shared" si="32"/>
        <v>0</v>
      </c>
      <c r="AW165" s="232">
        <f t="shared" si="33"/>
        <v>0</v>
      </c>
      <c r="AX165" s="236"/>
      <c r="AY165" s="167">
        <v>4</v>
      </c>
      <c r="AZ165" s="172" t="str">
        <f t="shared" si="25"/>
        <v>無無</v>
      </c>
      <c r="BA165" s="169">
        <f t="shared" si="26"/>
      </c>
      <c r="BB165" s="175" t="s">
        <v>276</v>
      </c>
      <c r="BC165" s="176"/>
      <c r="BD165" s="172" t="str">
        <f t="shared" si="27"/>
        <v>-</v>
      </c>
      <c r="BE165" s="169">
        <f t="shared" si="28"/>
      </c>
      <c r="BF165" s="175" t="s">
        <v>276</v>
      </c>
      <c r="BG165" s="176"/>
      <c r="BH165" s="175" t="s">
        <v>276</v>
      </c>
      <c r="BI165" s="177"/>
      <c r="BJ165" s="156">
        <f t="shared" si="29"/>
      </c>
      <c r="BK165" s="189">
        <f t="shared" si="34"/>
      </c>
      <c r="BL165" s="225">
        <f t="shared" si="30"/>
        <v>1000</v>
      </c>
      <c r="BM165" s="225">
        <v>1</v>
      </c>
      <c r="BN165" s="225">
        <v>1000</v>
      </c>
    </row>
    <row r="166" spans="5:66" ht="16.5" customHeight="1">
      <c r="E166" s="148"/>
      <c r="F166" s="25"/>
      <c r="G166" s="211"/>
      <c r="H166" s="211" t="s">
        <v>106</v>
      </c>
      <c r="I166" s="285" t="s">
        <v>103</v>
      </c>
      <c r="J166" s="285"/>
      <c r="K166" s="203"/>
      <c r="L166" s="211"/>
      <c r="M166" s="211" t="s">
        <v>107</v>
      </c>
      <c r="N166" s="285" t="s">
        <v>105</v>
      </c>
      <c r="O166" s="285"/>
      <c r="P166" s="285"/>
      <c r="Q166" s="203"/>
      <c r="R166" s="308"/>
      <c r="S166" s="309"/>
      <c r="T166" s="309"/>
      <c r="U166" s="309"/>
      <c r="V166" s="309"/>
      <c r="W166" s="309"/>
      <c r="X166" s="309"/>
      <c r="Y166" s="310"/>
      <c r="Z166" s="297">
        <f t="shared" si="31"/>
        <v>0</v>
      </c>
      <c r="AA166" s="298"/>
      <c r="AB166" s="298"/>
      <c r="AC166" s="298"/>
      <c r="AD166" s="321"/>
      <c r="AE166" s="308"/>
      <c r="AF166" s="309"/>
      <c r="AG166" s="309"/>
      <c r="AH166" s="309"/>
      <c r="AI166" s="309"/>
      <c r="AJ166" s="309"/>
      <c r="AK166" s="309"/>
      <c r="AL166" s="310"/>
      <c r="AM166" s="442">
        <f t="shared" si="35"/>
        <v>0</v>
      </c>
      <c r="AN166" s="443"/>
      <c r="AO166" s="443"/>
      <c r="AP166" s="443"/>
      <c r="AQ166" s="621"/>
      <c r="AS166" s="149">
        <f t="shared" si="24"/>
      </c>
      <c r="AV166" s="232">
        <f t="shared" si="32"/>
        <v>0</v>
      </c>
      <c r="AW166" s="232">
        <f t="shared" si="33"/>
        <v>0</v>
      </c>
      <c r="AX166" s="236"/>
      <c r="AY166" s="167">
        <v>5</v>
      </c>
      <c r="AZ166" s="172" t="str">
        <f t="shared" si="25"/>
        <v>無無</v>
      </c>
      <c r="BA166" s="169">
        <f t="shared" si="26"/>
      </c>
      <c r="BB166" s="175" t="s">
        <v>276</v>
      </c>
      <c r="BC166" s="176"/>
      <c r="BD166" s="172" t="str">
        <f t="shared" si="27"/>
        <v>-</v>
      </c>
      <c r="BE166" s="169">
        <f t="shared" si="28"/>
      </c>
      <c r="BF166" s="175" t="s">
        <v>276</v>
      </c>
      <c r="BG166" s="176"/>
      <c r="BH166" s="175" t="s">
        <v>276</v>
      </c>
      <c r="BI166" s="177"/>
      <c r="BJ166" s="156">
        <f t="shared" si="29"/>
      </c>
      <c r="BK166" s="189">
        <f t="shared" si="34"/>
      </c>
      <c r="BL166" s="225">
        <f t="shared" si="30"/>
        <v>5000</v>
      </c>
      <c r="BM166" s="225">
        <v>5</v>
      </c>
      <c r="BN166" s="225">
        <v>5000</v>
      </c>
    </row>
    <row r="167" spans="5:66" ht="16.5" customHeight="1">
      <c r="E167" s="148"/>
      <c r="F167" s="25"/>
      <c r="G167" s="203"/>
      <c r="H167" s="211" t="s">
        <v>107</v>
      </c>
      <c r="I167" s="285" t="s">
        <v>103</v>
      </c>
      <c r="J167" s="285"/>
      <c r="K167" s="203"/>
      <c r="L167" s="203"/>
      <c r="M167" s="211" t="s">
        <v>108</v>
      </c>
      <c r="N167" s="285" t="s">
        <v>105</v>
      </c>
      <c r="O167" s="285"/>
      <c r="P167" s="285"/>
      <c r="Q167" s="203"/>
      <c r="R167" s="308"/>
      <c r="S167" s="309"/>
      <c r="T167" s="309"/>
      <c r="U167" s="309"/>
      <c r="V167" s="309"/>
      <c r="W167" s="309"/>
      <c r="X167" s="309"/>
      <c r="Y167" s="310"/>
      <c r="Z167" s="297">
        <f t="shared" si="31"/>
        <v>0</v>
      </c>
      <c r="AA167" s="298"/>
      <c r="AB167" s="298"/>
      <c r="AC167" s="298"/>
      <c r="AD167" s="321"/>
      <c r="AE167" s="308"/>
      <c r="AF167" s="309"/>
      <c r="AG167" s="309"/>
      <c r="AH167" s="309"/>
      <c r="AI167" s="309"/>
      <c r="AJ167" s="309"/>
      <c r="AK167" s="309"/>
      <c r="AL167" s="310"/>
      <c r="AM167" s="442">
        <f t="shared" si="35"/>
        <v>0</v>
      </c>
      <c r="AN167" s="443"/>
      <c r="AO167" s="443"/>
      <c r="AP167" s="443"/>
      <c r="AQ167" s="621"/>
      <c r="AS167" s="149">
        <f t="shared" si="24"/>
      </c>
      <c r="AV167" s="232">
        <f t="shared" si="32"/>
        <v>0</v>
      </c>
      <c r="AW167" s="232">
        <f t="shared" si="33"/>
        <v>0</v>
      </c>
      <c r="AX167" s="236"/>
      <c r="AY167" s="167">
        <v>6</v>
      </c>
      <c r="AZ167" s="172" t="str">
        <f t="shared" si="25"/>
        <v>無無</v>
      </c>
      <c r="BA167" s="169">
        <f t="shared" si="26"/>
      </c>
      <c r="BB167" s="175" t="s">
        <v>276</v>
      </c>
      <c r="BC167" s="176"/>
      <c r="BD167" s="172" t="str">
        <f t="shared" si="27"/>
        <v>-</v>
      </c>
      <c r="BE167" s="169">
        <f t="shared" si="28"/>
      </c>
      <c r="BF167" s="175" t="s">
        <v>276</v>
      </c>
      <c r="BG167" s="176"/>
      <c r="BH167" s="175" t="s">
        <v>276</v>
      </c>
      <c r="BI167" s="177"/>
      <c r="BJ167" s="156">
        <f t="shared" si="29"/>
      </c>
      <c r="BK167" s="189">
        <f t="shared" si="34"/>
      </c>
      <c r="BL167" s="225">
        <f t="shared" si="30"/>
        <v>10000</v>
      </c>
      <c r="BM167" s="225">
        <v>10</v>
      </c>
      <c r="BN167" s="225">
        <v>10000</v>
      </c>
    </row>
    <row r="168" spans="5:66" ht="16.5" customHeight="1">
      <c r="E168" s="148"/>
      <c r="F168" s="26"/>
      <c r="G168" s="19"/>
      <c r="H168" s="35" t="s">
        <v>108</v>
      </c>
      <c r="I168" s="316" t="s">
        <v>103</v>
      </c>
      <c r="J168" s="316"/>
      <c r="K168" s="19"/>
      <c r="L168" s="19"/>
      <c r="M168" s="35" t="s">
        <v>109</v>
      </c>
      <c r="N168" s="316" t="s">
        <v>105</v>
      </c>
      <c r="O168" s="316"/>
      <c r="P168" s="316"/>
      <c r="Q168" s="19"/>
      <c r="R168" s="308"/>
      <c r="S168" s="309"/>
      <c r="T168" s="309"/>
      <c r="U168" s="309"/>
      <c r="V168" s="309"/>
      <c r="W168" s="309"/>
      <c r="X168" s="309"/>
      <c r="Y168" s="310"/>
      <c r="Z168" s="297">
        <f t="shared" si="31"/>
        <v>0</v>
      </c>
      <c r="AA168" s="298"/>
      <c r="AB168" s="298"/>
      <c r="AC168" s="298"/>
      <c r="AD168" s="321"/>
      <c r="AE168" s="308"/>
      <c r="AF168" s="309"/>
      <c r="AG168" s="309"/>
      <c r="AH168" s="309"/>
      <c r="AI168" s="309"/>
      <c r="AJ168" s="309"/>
      <c r="AK168" s="309"/>
      <c r="AL168" s="310"/>
      <c r="AM168" s="442">
        <f t="shared" si="35"/>
        <v>0</v>
      </c>
      <c r="AN168" s="443"/>
      <c r="AO168" s="443"/>
      <c r="AP168" s="443"/>
      <c r="AQ168" s="621"/>
      <c r="AS168" s="149">
        <f t="shared" si="24"/>
      </c>
      <c r="AV168" s="232">
        <f t="shared" si="32"/>
        <v>0</v>
      </c>
      <c r="AW168" s="232">
        <f t="shared" si="33"/>
        <v>0</v>
      </c>
      <c r="AX168" s="236"/>
      <c r="AY168" s="167">
        <v>7</v>
      </c>
      <c r="AZ168" s="172" t="str">
        <f t="shared" si="25"/>
        <v>無無</v>
      </c>
      <c r="BA168" s="169">
        <f t="shared" si="26"/>
      </c>
      <c r="BB168" s="175" t="s">
        <v>276</v>
      </c>
      <c r="BC168" s="176"/>
      <c r="BD168" s="172" t="str">
        <f t="shared" si="27"/>
        <v>-</v>
      </c>
      <c r="BE168" s="169">
        <f t="shared" si="28"/>
      </c>
      <c r="BF168" s="175" t="s">
        <v>276</v>
      </c>
      <c r="BG168" s="176"/>
      <c r="BH168" s="175" t="s">
        <v>276</v>
      </c>
      <c r="BI168" s="177"/>
      <c r="BJ168" s="156">
        <f t="shared" si="29"/>
      </c>
      <c r="BK168" s="189">
        <f t="shared" si="34"/>
      </c>
      <c r="BL168" s="225">
        <f t="shared" si="30"/>
        <v>50000</v>
      </c>
      <c r="BM168" s="225">
        <v>50</v>
      </c>
      <c r="BN168" s="225">
        <v>50000</v>
      </c>
    </row>
    <row r="169" spans="5:66" ht="16.5" customHeight="1">
      <c r="E169" s="148"/>
      <c r="F169" s="26"/>
      <c r="G169" s="19"/>
      <c r="H169" s="35" t="s">
        <v>109</v>
      </c>
      <c r="I169" s="316" t="s">
        <v>103</v>
      </c>
      <c r="J169" s="316"/>
      <c r="K169" s="19"/>
      <c r="L169" s="19"/>
      <c r="M169" s="35" t="s">
        <v>110</v>
      </c>
      <c r="N169" s="19" t="s">
        <v>111</v>
      </c>
      <c r="O169" s="19"/>
      <c r="P169" s="19"/>
      <c r="Q169" s="19"/>
      <c r="R169" s="308"/>
      <c r="S169" s="309"/>
      <c r="T169" s="309"/>
      <c r="U169" s="309"/>
      <c r="V169" s="309"/>
      <c r="W169" s="309"/>
      <c r="X169" s="309"/>
      <c r="Y169" s="310"/>
      <c r="Z169" s="297">
        <f t="shared" si="31"/>
        <v>0</v>
      </c>
      <c r="AA169" s="298"/>
      <c r="AB169" s="298"/>
      <c r="AC169" s="298"/>
      <c r="AD169" s="321"/>
      <c r="AE169" s="308"/>
      <c r="AF169" s="309"/>
      <c r="AG169" s="309"/>
      <c r="AH169" s="309"/>
      <c r="AI169" s="309"/>
      <c r="AJ169" s="309"/>
      <c r="AK169" s="309"/>
      <c r="AL169" s="310"/>
      <c r="AM169" s="442">
        <f t="shared" si="35"/>
        <v>0</v>
      </c>
      <c r="AN169" s="443"/>
      <c r="AO169" s="443"/>
      <c r="AP169" s="443"/>
      <c r="AQ169" s="621"/>
      <c r="AS169" s="149">
        <f t="shared" si="24"/>
      </c>
      <c r="AV169" s="232">
        <f t="shared" si="32"/>
        <v>0</v>
      </c>
      <c r="AW169" s="232">
        <f t="shared" si="33"/>
        <v>0</v>
      </c>
      <c r="AX169" s="236"/>
      <c r="AY169" s="167">
        <v>8</v>
      </c>
      <c r="AZ169" s="172" t="str">
        <f t="shared" si="25"/>
        <v>無無</v>
      </c>
      <c r="BA169" s="169">
        <f t="shared" si="26"/>
      </c>
      <c r="BB169" s="175" t="s">
        <v>276</v>
      </c>
      <c r="BC169" s="176"/>
      <c r="BD169" s="172" t="str">
        <f t="shared" si="27"/>
        <v>-</v>
      </c>
      <c r="BE169" s="169">
        <f t="shared" si="28"/>
      </c>
      <c r="BF169" s="175" t="s">
        <v>276</v>
      </c>
      <c r="BG169" s="176"/>
      <c r="BH169" s="175" t="s">
        <v>276</v>
      </c>
      <c r="BI169" s="177"/>
      <c r="BJ169" s="156">
        <f t="shared" si="29"/>
      </c>
      <c r="BK169" s="189">
        <f t="shared" si="34"/>
      </c>
      <c r="BL169" s="225">
        <f t="shared" si="30"/>
        <v>100000</v>
      </c>
      <c r="BM169" s="225">
        <v>100</v>
      </c>
      <c r="BN169" s="225">
        <v>100000</v>
      </c>
    </row>
    <row r="170" spans="5:66" ht="16.5" customHeight="1">
      <c r="E170" s="148"/>
      <c r="F170" s="25"/>
      <c r="G170" s="203"/>
      <c r="H170" s="211" t="s">
        <v>110</v>
      </c>
      <c r="I170" s="203" t="s">
        <v>112</v>
      </c>
      <c r="J170" s="203"/>
      <c r="K170" s="203"/>
      <c r="L170" s="203"/>
      <c r="M170" s="211" t="s">
        <v>113</v>
      </c>
      <c r="N170" s="285" t="s">
        <v>105</v>
      </c>
      <c r="O170" s="285"/>
      <c r="P170" s="285"/>
      <c r="Q170" s="203"/>
      <c r="R170" s="308"/>
      <c r="S170" s="309"/>
      <c r="T170" s="309"/>
      <c r="U170" s="309"/>
      <c r="V170" s="309"/>
      <c r="W170" s="309"/>
      <c r="X170" s="309"/>
      <c r="Y170" s="310"/>
      <c r="Z170" s="297">
        <f t="shared" si="31"/>
        <v>0</v>
      </c>
      <c r="AA170" s="298"/>
      <c r="AB170" s="298"/>
      <c r="AC170" s="298"/>
      <c r="AD170" s="321"/>
      <c r="AE170" s="308"/>
      <c r="AF170" s="309"/>
      <c r="AG170" s="309"/>
      <c r="AH170" s="309"/>
      <c r="AI170" s="309"/>
      <c r="AJ170" s="309"/>
      <c r="AK170" s="309"/>
      <c r="AL170" s="310"/>
      <c r="AM170" s="442">
        <f t="shared" si="35"/>
        <v>0</v>
      </c>
      <c r="AN170" s="443"/>
      <c r="AO170" s="443"/>
      <c r="AP170" s="443"/>
      <c r="AQ170" s="621"/>
      <c r="AS170" s="149">
        <f t="shared" si="24"/>
      </c>
      <c r="AV170" s="232">
        <f t="shared" si="32"/>
        <v>0</v>
      </c>
      <c r="AW170" s="232">
        <f t="shared" si="33"/>
        <v>0</v>
      </c>
      <c r="AX170" s="236"/>
      <c r="AY170" s="167">
        <v>9</v>
      </c>
      <c r="AZ170" s="172" t="str">
        <f t="shared" si="25"/>
        <v>無無</v>
      </c>
      <c r="BA170" s="169">
        <f t="shared" si="26"/>
      </c>
      <c r="BB170" s="175" t="s">
        <v>276</v>
      </c>
      <c r="BC170" s="176"/>
      <c r="BD170" s="172" t="str">
        <f t="shared" si="27"/>
        <v>-</v>
      </c>
      <c r="BE170" s="169">
        <f t="shared" si="28"/>
      </c>
      <c r="BF170" s="175" t="s">
        <v>276</v>
      </c>
      <c r="BG170" s="176"/>
      <c r="BH170" s="175" t="s">
        <v>276</v>
      </c>
      <c r="BI170" s="177"/>
      <c r="BJ170" s="156">
        <f t="shared" si="29"/>
      </c>
      <c r="BK170" s="189">
        <f t="shared" si="34"/>
      </c>
      <c r="BL170" s="225">
        <f t="shared" si="30"/>
        <v>500000</v>
      </c>
      <c r="BM170" s="225">
        <v>500</v>
      </c>
      <c r="BN170" s="225">
        <v>500000</v>
      </c>
    </row>
    <row r="171" spans="5:66" ht="16.5" customHeight="1">
      <c r="E171" s="148"/>
      <c r="F171" s="25"/>
      <c r="G171" s="203"/>
      <c r="H171" s="211" t="s">
        <v>113</v>
      </c>
      <c r="I171" s="285" t="s">
        <v>103</v>
      </c>
      <c r="J171" s="285"/>
      <c r="K171" s="203"/>
      <c r="L171" s="203"/>
      <c r="M171" s="211" t="s">
        <v>62</v>
      </c>
      <c r="N171" s="285" t="s">
        <v>105</v>
      </c>
      <c r="O171" s="285"/>
      <c r="P171" s="285"/>
      <c r="Q171" s="203"/>
      <c r="R171" s="308"/>
      <c r="S171" s="309"/>
      <c r="T171" s="309"/>
      <c r="U171" s="309"/>
      <c r="V171" s="309"/>
      <c r="W171" s="309"/>
      <c r="X171" s="309"/>
      <c r="Y171" s="310"/>
      <c r="Z171" s="297">
        <f t="shared" si="31"/>
        <v>0</v>
      </c>
      <c r="AA171" s="298"/>
      <c r="AB171" s="298"/>
      <c r="AC171" s="298"/>
      <c r="AD171" s="321"/>
      <c r="AE171" s="308"/>
      <c r="AF171" s="309"/>
      <c r="AG171" s="309"/>
      <c r="AH171" s="309"/>
      <c r="AI171" s="309"/>
      <c r="AJ171" s="309"/>
      <c r="AK171" s="309"/>
      <c r="AL171" s="310"/>
      <c r="AM171" s="442">
        <f t="shared" si="35"/>
        <v>0</v>
      </c>
      <c r="AN171" s="443"/>
      <c r="AO171" s="443"/>
      <c r="AP171" s="443"/>
      <c r="AQ171" s="621"/>
      <c r="AS171" s="149">
        <f t="shared" si="24"/>
      </c>
      <c r="AV171" s="232">
        <f t="shared" si="32"/>
        <v>0</v>
      </c>
      <c r="AW171" s="232">
        <f t="shared" si="33"/>
        <v>0</v>
      </c>
      <c r="AX171" s="236"/>
      <c r="AY171" s="167">
        <v>10</v>
      </c>
      <c r="AZ171" s="172" t="str">
        <f t="shared" si="25"/>
        <v>無無</v>
      </c>
      <c r="BA171" s="169">
        <f t="shared" si="26"/>
      </c>
      <c r="BB171" s="175" t="s">
        <v>276</v>
      </c>
      <c r="BC171" s="176"/>
      <c r="BD171" s="172" t="str">
        <f t="shared" si="27"/>
        <v>-</v>
      </c>
      <c r="BE171" s="169">
        <f>IF(ISNA(VLOOKUP(BD171,BD$75:BE$91,2,FALSE))=TRUE,"",VLOOKUP(BD171,BD$75:BE$91,2,FALSE))</f>
      </c>
      <c r="BF171" s="175" t="s">
        <v>276</v>
      </c>
      <c r="BG171" s="176"/>
      <c r="BH171" s="175" t="s">
        <v>276</v>
      </c>
      <c r="BI171" s="177"/>
      <c r="BJ171" s="156">
        <f t="shared" si="29"/>
      </c>
      <c r="BK171" s="189">
        <f t="shared" si="34"/>
      </c>
      <c r="BL171" s="225">
        <f t="shared" si="30"/>
        <v>1000000</v>
      </c>
      <c r="BM171" s="225">
        <v>1000</v>
      </c>
      <c r="BN171" s="225">
        <v>1000000</v>
      </c>
    </row>
    <row r="172" spans="5:66" ht="16.5" customHeight="1">
      <c r="E172" s="148"/>
      <c r="F172" s="25"/>
      <c r="G172" s="203"/>
      <c r="H172" s="211" t="s">
        <v>62</v>
      </c>
      <c r="I172" s="285" t="s">
        <v>103</v>
      </c>
      <c r="J172" s="285"/>
      <c r="K172" s="203"/>
      <c r="L172" s="203"/>
      <c r="M172" s="211" t="s">
        <v>106</v>
      </c>
      <c r="N172" s="285" t="s">
        <v>105</v>
      </c>
      <c r="O172" s="285"/>
      <c r="P172" s="285"/>
      <c r="Q172" s="203"/>
      <c r="R172" s="308"/>
      <c r="S172" s="309"/>
      <c r="T172" s="309"/>
      <c r="U172" s="309"/>
      <c r="V172" s="309"/>
      <c r="W172" s="309"/>
      <c r="X172" s="309"/>
      <c r="Y172" s="310"/>
      <c r="Z172" s="297">
        <f>IF(OR(AV$174=0,AV172=0),0,ROUNDDOWN(R172/R$174,4)*100)</f>
        <v>0</v>
      </c>
      <c r="AA172" s="298"/>
      <c r="AB172" s="298"/>
      <c r="AC172" s="298"/>
      <c r="AD172" s="321"/>
      <c r="AE172" s="308"/>
      <c r="AF172" s="309"/>
      <c r="AG172" s="309"/>
      <c r="AH172" s="309"/>
      <c r="AI172" s="309"/>
      <c r="AJ172" s="309"/>
      <c r="AK172" s="309"/>
      <c r="AL172" s="310"/>
      <c r="AM172" s="442">
        <f t="shared" si="35"/>
        <v>0</v>
      </c>
      <c r="AN172" s="443"/>
      <c r="AO172" s="443"/>
      <c r="AP172" s="443"/>
      <c r="AQ172" s="621"/>
      <c r="AS172" s="149">
        <f t="shared" si="24"/>
      </c>
      <c r="AV172" s="232">
        <f>IF(R172="-",0,R172)</f>
        <v>0</v>
      </c>
      <c r="AW172" s="232">
        <f t="shared" si="33"/>
        <v>0</v>
      </c>
      <c r="AX172" s="236"/>
      <c r="AY172" s="167">
        <v>11</v>
      </c>
      <c r="AZ172" s="172" t="str">
        <f t="shared" si="25"/>
        <v>無無</v>
      </c>
      <c r="BA172" s="169">
        <f t="shared" si="26"/>
      </c>
      <c r="BB172" s="175" t="s">
        <v>276</v>
      </c>
      <c r="BC172" s="176"/>
      <c r="BD172" s="172" t="str">
        <f t="shared" si="27"/>
        <v>-</v>
      </c>
      <c r="BE172" s="169">
        <f t="shared" si="28"/>
      </c>
      <c r="BF172" s="175" t="s">
        <v>276</v>
      </c>
      <c r="BG172" s="176"/>
      <c r="BH172" s="175" t="s">
        <v>276</v>
      </c>
      <c r="BI172" s="177"/>
      <c r="BJ172" s="156">
        <f t="shared" si="29"/>
      </c>
      <c r="BK172" s="189">
        <f t="shared" si="34"/>
      </c>
      <c r="BL172" s="225">
        <f t="shared" si="30"/>
        <v>10000000</v>
      </c>
      <c r="BM172" s="225">
        <v>10000</v>
      </c>
      <c r="BN172" s="225">
        <v>10000000</v>
      </c>
    </row>
    <row r="173" spans="5:66" ht="16.5" customHeight="1">
      <c r="E173" s="148"/>
      <c r="F173" s="523" t="s">
        <v>114</v>
      </c>
      <c r="G173" s="292"/>
      <c r="H173" s="292"/>
      <c r="I173" s="292"/>
      <c r="J173" s="292"/>
      <c r="K173" s="292"/>
      <c r="L173" s="292"/>
      <c r="M173" s="292"/>
      <c r="N173" s="292"/>
      <c r="O173" s="292"/>
      <c r="P173" s="292"/>
      <c r="Q173" s="292"/>
      <c r="R173" s="625"/>
      <c r="S173" s="626"/>
      <c r="T173" s="626"/>
      <c r="U173" s="626"/>
      <c r="V173" s="626"/>
      <c r="W173" s="626"/>
      <c r="X173" s="626"/>
      <c r="Y173" s="627"/>
      <c r="Z173" s="297">
        <f>IF(OR(AV$174=0,AV173=0),0,ROUNDDOWN(R173/R$174,4)*100)</f>
        <v>0</v>
      </c>
      <c r="AA173" s="298"/>
      <c r="AB173" s="298"/>
      <c r="AC173" s="298"/>
      <c r="AD173" s="321"/>
      <c r="AE173" s="672"/>
      <c r="AF173" s="673"/>
      <c r="AG173" s="673"/>
      <c r="AH173" s="673"/>
      <c r="AI173" s="673"/>
      <c r="AJ173" s="673"/>
      <c r="AK173" s="673"/>
      <c r="AL173" s="674"/>
      <c r="AM173" s="297">
        <f>IF(OR(AW$174=0,AW173=0),0,ROUNDDOWN(AE173/AE$174,4)*100)</f>
        <v>0</v>
      </c>
      <c r="AN173" s="298"/>
      <c r="AO173" s="298"/>
      <c r="AP173" s="298"/>
      <c r="AQ173" s="299"/>
      <c r="AS173" s="149">
        <f t="shared" si="24"/>
      </c>
      <c r="AV173" s="232">
        <f>IF(R173="-",0,R173)</f>
        <v>0</v>
      </c>
      <c r="AW173" s="232">
        <f t="shared" si="33"/>
        <v>0</v>
      </c>
      <c r="AX173" s="236"/>
      <c r="AY173" s="167">
        <v>12</v>
      </c>
      <c r="AZ173" s="172" t="str">
        <f t="shared" si="25"/>
        <v>無無</v>
      </c>
      <c r="BA173" s="169">
        <f t="shared" si="26"/>
      </c>
      <c r="BB173" s="175" t="s">
        <v>276</v>
      </c>
      <c r="BC173" s="176"/>
      <c r="BD173" s="172" t="str">
        <f t="shared" si="27"/>
        <v>-</v>
      </c>
      <c r="BE173" s="169">
        <f t="shared" si="28"/>
      </c>
      <c r="BF173" s="175" t="s">
        <v>276</v>
      </c>
      <c r="BG173" s="176"/>
      <c r="BH173" s="175" t="s">
        <v>276</v>
      </c>
      <c r="BI173" s="177"/>
      <c r="BJ173" s="156">
        <f t="shared" si="29"/>
      </c>
      <c r="BK173" s="189">
        <f t="shared" si="34"/>
      </c>
      <c r="BL173" s="225">
        <f t="shared" si="30"/>
        <v>1000000000</v>
      </c>
      <c r="BM173" s="225">
        <v>1000000</v>
      </c>
      <c r="BN173" s="225">
        <v>1000000000</v>
      </c>
    </row>
    <row r="174" spans="5:66" ht="16.5" customHeight="1" thickBot="1">
      <c r="E174" s="204"/>
      <c r="F174" s="28"/>
      <c r="G174" s="29"/>
      <c r="H174" s="36"/>
      <c r="I174" s="401" t="s">
        <v>115</v>
      </c>
      <c r="J174" s="401"/>
      <c r="K174" s="401"/>
      <c r="L174" s="401"/>
      <c r="M174" s="401"/>
      <c r="N174" s="401"/>
      <c r="O174" s="29"/>
      <c r="P174" s="29"/>
      <c r="Q174" s="29"/>
      <c r="R174" s="618">
        <f>SUM(R162:Y173)</f>
        <v>0</v>
      </c>
      <c r="S174" s="619"/>
      <c r="T174" s="619"/>
      <c r="U174" s="619"/>
      <c r="V174" s="619"/>
      <c r="W174" s="619"/>
      <c r="X174" s="619"/>
      <c r="Y174" s="620"/>
      <c r="Z174" s="312">
        <v>100</v>
      </c>
      <c r="AA174" s="312"/>
      <c r="AB174" s="312"/>
      <c r="AC174" s="312"/>
      <c r="AD174" s="312"/>
      <c r="AE174" s="618" t="str">
        <f>AE141</f>
        <v>-</v>
      </c>
      <c r="AF174" s="619"/>
      <c r="AG174" s="619"/>
      <c r="AH174" s="619"/>
      <c r="AI174" s="619"/>
      <c r="AJ174" s="619"/>
      <c r="AK174" s="619"/>
      <c r="AL174" s="620"/>
      <c r="AM174" s="312">
        <v>100</v>
      </c>
      <c r="AN174" s="312"/>
      <c r="AO174" s="312"/>
      <c r="AP174" s="312"/>
      <c r="AQ174" s="526"/>
      <c r="AS174" s="149" t="str">
        <f t="shared" si="24"/>
        <v>←残高が未記入。</v>
      </c>
      <c r="AV174" s="234">
        <f>IF(R174="-",0,R174)</f>
        <v>0</v>
      </c>
      <c r="AW174" s="234">
        <f>IF(AE174="-",0,AE174)</f>
        <v>0</v>
      </c>
      <c r="AX174" s="236"/>
      <c r="AY174" s="167">
        <v>13</v>
      </c>
      <c r="AZ174" s="179" t="str">
        <f t="shared" si="25"/>
        <v>有無</v>
      </c>
      <c r="BA174" s="169" t="str">
        <f>IF(ISNA(VLOOKUP(AZ174,AZ$75:BA$91,2,FALSE))=TRUE,"",VLOOKUP(AZ174,AZ$75:BA$91,2,FALSE))</f>
        <v>残高が未記入。</v>
      </c>
      <c r="BB174" s="179" t="str">
        <f>CONCATENATE(IF(AV174=SUM(AV162:AV173),"合","不"),IF(AND(SUM(AW162:AW173)&lt;=AW174,AW174&lt;=(SUM(AW162:AW173)+12)),"合","不"))</f>
        <v>合合</v>
      </c>
      <c r="BC174" s="178">
        <f>IF(ISNA(VLOOKUP(BB174,BB$75:BC$91,2,FALSE))=TRUE,"",VLOOKUP(BB174,BB$75:BC$91,2,FALSE))</f>
      </c>
      <c r="BD174" s="179" t="str">
        <f>IF(AZ174="有有",IF(AW174/AV174&gt;BL174,"高額","ok"),"-")</f>
        <v>-</v>
      </c>
      <c r="BE174" s="169">
        <f t="shared" si="28"/>
      </c>
      <c r="BF174" s="180" t="s">
        <v>276</v>
      </c>
      <c r="BG174" s="176"/>
      <c r="BH174" s="179" t="str">
        <f>IF(BG175=0,IF(R174=Q$108,IF(AE174=Z$108,"正正計","正誤計"),IF(AE174=Z$108,"誤正計","誤誤計")),"-")</f>
        <v>-</v>
      </c>
      <c r="BI174" s="182">
        <f>IF(ISNA(VLOOKUP(BH174,BH$75:BI$91,2,FALSE))=TRUE,"",VLOOKUP(BH174,BH$75:BI$91,2,FALSE))</f>
      </c>
      <c r="BJ174" s="156" t="str">
        <f t="shared" si="29"/>
        <v>←</v>
      </c>
      <c r="BK174" s="220" t="str">
        <f>IF(BK$160="表示",CONCATENATE(BJ174,BA174,BC174,BE174,BG174,BI174),"")</f>
        <v>←残高が未記入。</v>
      </c>
      <c r="BL174" s="225">
        <f t="shared" si="30"/>
        <v>1000000000</v>
      </c>
      <c r="BM174" s="225">
        <v>1000000</v>
      </c>
      <c r="BN174" s="225">
        <v>1000000000</v>
      </c>
    </row>
    <row r="175" spans="5:63" ht="16.5" customHeight="1" thickBot="1">
      <c r="E175" s="204"/>
      <c r="F175" s="281" t="s">
        <v>26</v>
      </c>
      <c r="G175" s="282"/>
      <c r="H175" s="282"/>
      <c r="I175" s="282"/>
      <c r="J175" s="282"/>
      <c r="K175" s="282"/>
      <c r="L175" s="282"/>
      <c r="M175" s="282"/>
      <c r="N175" s="282"/>
      <c r="O175" s="282"/>
      <c r="P175" s="282"/>
      <c r="Q175" s="282"/>
      <c r="R175" s="301"/>
      <c r="S175" s="301"/>
      <c r="T175" s="301"/>
      <c r="U175" s="301"/>
      <c r="V175" s="301"/>
      <c r="W175" s="301"/>
      <c r="X175" s="301"/>
      <c r="Y175" s="301"/>
      <c r="Z175" s="282"/>
      <c r="AA175" s="282"/>
      <c r="AB175" s="282"/>
      <c r="AC175" s="282"/>
      <c r="AD175" s="424"/>
      <c r="AE175" s="675">
        <f>IF(AV174=0,"",ROUNDDOWN(AE174/R174,2))</f>
      </c>
      <c r="AF175" s="676"/>
      <c r="AG175" s="676"/>
      <c r="AH175" s="676"/>
      <c r="AI175" s="676"/>
      <c r="AJ175" s="429" t="str">
        <f>$X$393</f>
        <v>千円</v>
      </c>
      <c r="AK175" s="429"/>
      <c r="AL175" s="430"/>
      <c r="AM175" s="677"/>
      <c r="AN175" s="677"/>
      <c r="AO175" s="677"/>
      <c r="AP175" s="677"/>
      <c r="AQ175" s="678"/>
      <c r="AR175" s="65" t="s">
        <v>211</v>
      </c>
      <c r="AZ175" s="184">
        <f>COUNTIF(AZ162:AZ174,"無無")</f>
        <v>12</v>
      </c>
      <c r="BA175" s="182">
        <f>IF(AZ175=AY174,"｢該当なし」","")</f>
      </c>
      <c r="BB175" s="153"/>
      <c r="BC175" s="153"/>
      <c r="BD175" s="153"/>
      <c r="BF175" s="181" t="s">
        <v>424</v>
      </c>
      <c r="BG175" s="164">
        <f>(4*AY174)-(COUNTIF(BA162:BA174,"")+COUNTIF(BC162:BC174,"")+COUNTIF(BE162:BE174,"")+COUNTIF(BG162:BG174,""))</f>
        <v>1</v>
      </c>
      <c r="BH175" s="153"/>
      <c r="BI175" s="153"/>
      <c r="BJ175" s="181" t="s">
        <v>425</v>
      </c>
      <c r="BK175" s="164">
        <f>AY174-COUNTIF(BJ162:BJ174,"")</f>
        <v>1</v>
      </c>
    </row>
    <row r="176" spans="5:63" ht="7.5" customHeight="1">
      <c r="E176" s="204"/>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204"/>
      <c r="AP176" s="204"/>
      <c r="AQ176" s="204"/>
      <c r="AR176" s="204"/>
      <c r="AY176" s="185"/>
      <c r="AZ176" s="185"/>
      <c r="BA176" s="185"/>
      <c r="BB176" s="185"/>
      <c r="BC176" s="185"/>
      <c r="BD176" s="185"/>
      <c r="BE176" s="185"/>
      <c r="BF176" s="185"/>
      <c r="BG176" s="185"/>
      <c r="BH176" s="185"/>
      <c r="BI176" s="185"/>
      <c r="BJ176" s="186"/>
      <c r="BK176" s="187"/>
    </row>
    <row r="177" spans="5:63" ht="13.5" customHeight="1">
      <c r="E177" s="204"/>
      <c r="F177" s="204" t="s">
        <v>55</v>
      </c>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Y177" s="185"/>
      <c r="AZ177" s="185"/>
      <c r="BA177" s="185"/>
      <c r="BB177" s="185"/>
      <c r="BC177" s="185"/>
      <c r="BD177" s="185"/>
      <c r="BE177" s="185"/>
      <c r="BF177" s="185"/>
      <c r="BG177" s="185"/>
      <c r="BH177" s="185"/>
      <c r="BI177" s="185"/>
      <c r="BJ177" s="186"/>
      <c r="BK177" s="187"/>
    </row>
    <row r="178" spans="5:68" ht="15.75" customHeight="1">
      <c r="E178" s="204"/>
      <c r="F178" s="204"/>
      <c r="G178" s="357" t="s">
        <v>327</v>
      </c>
      <c r="H178" s="357"/>
      <c r="I178" s="357"/>
      <c r="J178" s="357"/>
      <c r="K178" s="357"/>
      <c r="L178" s="357"/>
      <c r="M178" s="357"/>
      <c r="N178" s="357"/>
      <c r="O178" s="357"/>
      <c r="P178" s="357"/>
      <c r="Q178" s="357"/>
      <c r="R178" s="357"/>
      <c r="S178" s="357"/>
      <c r="T178" s="357"/>
      <c r="U178" s="357"/>
      <c r="V178" s="357"/>
      <c r="W178" s="357"/>
      <c r="X178" s="357"/>
      <c r="Y178" s="357"/>
      <c r="Z178" s="357"/>
      <c r="AA178" s="357"/>
      <c r="AB178" s="357"/>
      <c r="AC178" s="357"/>
      <c r="AD178" s="357"/>
      <c r="AE178" s="357"/>
      <c r="AF178" s="357"/>
      <c r="AG178" s="357"/>
      <c r="AH178" s="357"/>
      <c r="AI178" s="357"/>
      <c r="AJ178" s="357"/>
      <c r="AK178" s="357"/>
      <c r="AL178" s="357"/>
      <c r="AM178" s="357"/>
      <c r="AN178" s="357"/>
      <c r="AO178" s="357"/>
      <c r="AP178" s="357"/>
      <c r="AQ178" s="357"/>
      <c r="AR178" s="204"/>
      <c r="AY178" s="185"/>
      <c r="AZ178" s="185"/>
      <c r="BA178" s="185"/>
      <c r="BB178" s="185"/>
      <c r="BC178" s="185"/>
      <c r="BD178" s="185"/>
      <c r="BE178" s="185"/>
      <c r="BF178" s="185"/>
      <c r="BG178" s="185"/>
      <c r="BH178" s="185"/>
      <c r="BI178" s="185"/>
      <c r="BJ178" s="186"/>
      <c r="BK178" s="187"/>
      <c r="BL178" s="185"/>
      <c r="BM178" s="185"/>
      <c r="BN178" s="185"/>
      <c r="BO178" s="185"/>
      <c r="BP178" s="185"/>
    </row>
    <row r="179" spans="5:68" ht="15.75" customHeight="1">
      <c r="E179" s="204"/>
      <c r="F179" s="148"/>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c r="AK179" s="357"/>
      <c r="AL179" s="357"/>
      <c r="AM179" s="357"/>
      <c r="AN179" s="357"/>
      <c r="AO179" s="357"/>
      <c r="AP179" s="357"/>
      <c r="AQ179" s="357"/>
      <c r="AR179" s="204"/>
      <c r="AY179" s="185"/>
      <c r="AZ179" s="185"/>
      <c r="BA179" s="185"/>
      <c r="BB179" s="185"/>
      <c r="BC179" s="185"/>
      <c r="BD179" s="185"/>
      <c r="BE179" s="185"/>
      <c r="BF179" s="185"/>
      <c r="BG179" s="185"/>
      <c r="BH179" s="185"/>
      <c r="BI179" s="185"/>
      <c r="BJ179" s="186"/>
      <c r="BK179" s="187"/>
      <c r="BL179" s="185"/>
      <c r="BM179" s="185"/>
      <c r="BN179" s="185"/>
      <c r="BO179" s="185"/>
      <c r="BP179" s="185"/>
    </row>
    <row r="180" spans="5:68" ht="15.75" customHeight="1">
      <c r="E180" s="204"/>
      <c r="F180" s="148"/>
      <c r="G180" s="357"/>
      <c r="H180" s="357"/>
      <c r="I180" s="357"/>
      <c r="J180" s="357"/>
      <c r="K180" s="357"/>
      <c r="L180" s="357"/>
      <c r="M180" s="357"/>
      <c r="N180" s="357"/>
      <c r="O180" s="357"/>
      <c r="P180" s="357"/>
      <c r="Q180" s="357"/>
      <c r="R180" s="357"/>
      <c r="S180" s="357"/>
      <c r="T180" s="357"/>
      <c r="U180" s="357"/>
      <c r="V180" s="357"/>
      <c r="W180" s="357"/>
      <c r="X180" s="357"/>
      <c r="Y180" s="357"/>
      <c r="Z180" s="357"/>
      <c r="AA180" s="357"/>
      <c r="AB180" s="357"/>
      <c r="AC180" s="357"/>
      <c r="AD180" s="357"/>
      <c r="AE180" s="357"/>
      <c r="AF180" s="357"/>
      <c r="AG180" s="357"/>
      <c r="AH180" s="357"/>
      <c r="AI180" s="357"/>
      <c r="AJ180" s="357"/>
      <c r="AK180" s="357"/>
      <c r="AL180" s="357"/>
      <c r="AM180" s="357"/>
      <c r="AN180" s="357"/>
      <c r="AO180" s="357"/>
      <c r="AP180" s="357"/>
      <c r="AQ180" s="357"/>
      <c r="AR180" s="204"/>
      <c r="AY180" s="185"/>
      <c r="AZ180" s="185"/>
      <c r="BA180" s="185"/>
      <c r="BB180" s="185"/>
      <c r="BC180" s="185"/>
      <c r="BD180" s="185"/>
      <c r="BE180" s="185"/>
      <c r="BF180" s="185"/>
      <c r="BG180" s="185"/>
      <c r="BH180" s="185"/>
      <c r="BI180" s="185"/>
      <c r="BJ180" s="186"/>
      <c r="BK180" s="187"/>
      <c r="BL180" s="185"/>
      <c r="BM180" s="185"/>
      <c r="BN180" s="185"/>
      <c r="BO180" s="185"/>
      <c r="BP180" s="185"/>
    </row>
    <row r="181" spans="5:68" ht="13.5" customHeight="1">
      <c r="E181" s="204"/>
      <c r="F181" s="148"/>
      <c r="G181" s="357" t="s">
        <v>307</v>
      </c>
      <c r="H181" s="357"/>
      <c r="I181" s="357"/>
      <c r="J181" s="357"/>
      <c r="K181" s="357"/>
      <c r="L181" s="357"/>
      <c r="M181" s="357"/>
      <c r="N181" s="357"/>
      <c r="O181" s="357"/>
      <c r="P181" s="357"/>
      <c r="Q181" s="357"/>
      <c r="R181" s="357"/>
      <c r="S181" s="357"/>
      <c r="T181" s="357"/>
      <c r="U181" s="357"/>
      <c r="V181" s="357"/>
      <c r="W181" s="357"/>
      <c r="X181" s="357"/>
      <c r="Y181" s="357"/>
      <c r="Z181" s="357"/>
      <c r="AA181" s="357"/>
      <c r="AB181" s="357"/>
      <c r="AC181" s="357"/>
      <c r="AD181" s="357"/>
      <c r="AE181" s="357"/>
      <c r="AF181" s="357"/>
      <c r="AG181" s="357"/>
      <c r="AH181" s="357"/>
      <c r="AI181" s="357"/>
      <c r="AJ181" s="357"/>
      <c r="AK181" s="357"/>
      <c r="AL181" s="357"/>
      <c r="AM181" s="357"/>
      <c r="AN181" s="357"/>
      <c r="AO181" s="357"/>
      <c r="AP181" s="357"/>
      <c r="AQ181" s="357"/>
      <c r="AR181" s="204"/>
      <c r="AY181" s="185"/>
      <c r="AZ181" s="185"/>
      <c r="BA181" s="185"/>
      <c r="BB181" s="185"/>
      <c r="BC181" s="185"/>
      <c r="BD181" s="185"/>
      <c r="BE181" s="185"/>
      <c r="BF181" s="185"/>
      <c r="BG181" s="185"/>
      <c r="BH181" s="185"/>
      <c r="BI181" s="185"/>
      <c r="BJ181" s="186"/>
      <c r="BK181" s="187"/>
      <c r="BL181" s="185"/>
      <c r="BM181" s="185"/>
      <c r="BN181" s="185"/>
      <c r="BO181" s="185"/>
      <c r="BP181" s="185"/>
    </row>
    <row r="182" spans="5:68" ht="13.5" customHeight="1">
      <c r="E182" s="204"/>
      <c r="F182" s="148"/>
      <c r="G182" s="357" t="s">
        <v>308</v>
      </c>
      <c r="H182" s="357"/>
      <c r="I182" s="357"/>
      <c r="J182" s="357"/>
      <c r="K182" s="357"/>
      <c r="L182" s="357"/>
      <c r="M182" s="357"/>
      <c r="N182" s="357"/>
      <c r="O182" s="357"/>
      <c r="P182" s="357"/>
      <c r="Q182" s="357"/>
      <c r="R182" s="357"/>
      <c r="S182" s="357"/>
      <c r="T182" s="357"/>
      <c r="U182" s="357"/>
      <c r="V182" s="357"/>
      <c r="W182" s="357"/>
      <c r="X182" s="357"/>
      <c r="Y182" s="357"/>
      <c r="Z182" s="357"/>
      <c r="AA182" s="357"/>
      <c r="AB182" s="357"/>
      <c r="AC182" s="357"/>
      <c r="AD182" s="357"/>
      <c r="AE182" s="357"/>
      <c r="AF182" s="357"/>
      <c r="AG182" s="357"/>
      <c r="AH182" s="357"/>
      <c r="AI182" s="357"/>
      <c r="AJ182" s="357"/>
      <c r="AK182" s="357"/>
      <c r="AL182" s="357"/>
      <c r="AM182" s="357"/>
      <c r="AN182" s="357"/>
      <c r="AO182" s="357"/>
      <c r="AP182" s="357"/>
      <c r="AQ182" s="357"/>
      <c r="AR182" s="204"/>
      <c r="BL182" s="185"/>
      <c r="BM182" s="185"/>
      <c r="BN182" s="185"/>
      <c r="BO182" s="185"/>
      <c r="BP182" s="185"/>
    </row>
    <row r="183" spans="5:68" ht="13.5" customHeight="1">
      <c r="E183" s="204"/>
      <c r="F183" s="148"/>
      <c r="G183" s="357"/>
      <c r="H183" s="357"/>
      <c r="I183" s="357"/>
      <c r="J183" s="357"/>
      <c r="K183" s="357"/>
      <c r="L183" s="357"/>
      <c r="M183" s="357"/>
      <c r="N183" s="357"/>
      <c r="O183" s="357"/>
      <c r="P183" s="357"/>
      <c r="Q183" s="357"/>
      <c r="R183" s="357"/>
      <c r="S183" s="357"/>
      <c r="T183" s="357"/>
      <c r="U183" s="357"/>
      <c r="V183" s="357"/>
      <c r="W183" s="357"/>
      <c r="X183" s="357"/>
      <c r="Y183" s="357"/>
      <c r="Z183" s="357"/>
      <c r="AA183" s="357"/>
      <c r="AB183" s="357"/>
      <c r="AC183" s="357"/>
      <c r="AD183" s="357"/>
      <c r="AE183" s="357"/>
      <c r="AF183" s="357"/>
      <c r="AG183" s="357"/>
      <c r="AH183" s="357"/>
      <c r="AI183" s="357"/>
      <c r="AJ183" s="357"/>
      <c r="AK183" s="357"/>
      <c r="AL183" s="357"/>
      <c r="AM183" s="357"/>
      <c r="AN183" s="357"/>
      <c r="AO183" s="357"/>
      <c r="AP183" s="357"/>
      <c r="AQ183" s="357"/>
      <c r="AR183" s="204"/>
      <c r="BL183" s="185"/>
      <c r="BM183" s="185"/>
      <c r="BN183" s="185"/>
      <c r="BO183" s="185"/>
      <c r="BP183" s="185"/>
    </row>
    <row r="184" spans="5:68" ht="13.5" customHeight="1">
      <c r="E184" s="204"/>
      <c r="F184" s="148"/>
      <c r="G184" s="286" t="s">
        <v>309</v>
      </c>
      <c r="H184" s="286"/>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86"/>
      <c r="AO184" s="286"/>
      <c r="AP184" s="286"/>
      <c r="AQ184" s="286"/>
      <c r="AR184" s="204"/>
      <c r="BL184" s="185"/>
      <c r="BM184" s="185"/>
      <c r="BN184" s="185"/>
      <c r="BO184" s="185"/>
      <c r="BP184" s="185"/>
    </row>
    <row r="185" spans="5:68" ht="13.5" customHeight="1">
      <c r="E185" s="204"/>
      <c r="F185" s="148"/>
      <c r="G185" s="286" t="s">
        <v>310</v>
      </c>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6"/>
      <c r="AH185" s="286"/>
      <c r="AI185" s="286"/>
      <c r="AJ185" s="286"/>
      <c r="AK185" s="286"/>
      <c r="AL185" s="286"/>
      <c r="AM185" s="286"/>
      <c r="AN185" s="286"/>
      <c r="AO185" s="286"/>
      <c r="AP185" s="286"/>
      <c r="AQ185" s="286"/>
      <c r="AR185" s="204"/>
      <c r="BL185" s="185"/>
      <c r="BM185" s="185"/>
      <c r="BN185" s="185"/>
      <c r="BO185" s="185"/>
      <c r="BP185" s="185"/>
    </row>
    <row r="186" spans="5:68" ht="13.5" customHeight="1">
      <c r="E186" s="204"/>
      <c r="F186" s="148"/>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BL186" s="185"/>
      <c r="BM186" s="185"/>
      <c r="BN186" s="185"/>
      <c r="BO186" s="185"/>
      <c r="BP186" s="185"/>
    </row>
    <row r="187" spans="5:44" ht="16.5" customHeight="1">
      <c r="E187" s="204"/>
      <c r="F187" s="148"/>
      <c r="G187" s="204"/>
      <c r="H187" s="204"/>
      <c r="I187" s="204"/>
      <c r="J187" s="11"/>
      <c r="K187" s="204"/>
      <c r="L187" s="11"/>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148"/>
      <c r="AN187" s="148"/>
      <c r="AO187" s="204"/>
      <c r="AP187" s="204"/>
      <c r="AQ187" s="204"/>
      <c r="AR187" s="204"/>
    </row>
    <row r="188" spans="5:46" ht="16.5" customHeight="1">
      <c r="E188" s="204"/>
      <c r="F188" s="150" t="str">
        <f>IF(BK202=0,"４　貸付金の期間別内訳","４．貸付金の期間別内訳")</f>
        <v>４．貸付金の期間別内訳</v>
      </c>
      <c r="G188" s="148"/>
      <c r="H188" s="148"/>
      <c r="I188" s="148"/>
      <c r="J188" s="148"/>
      <c r="K188" s="148"/>
      <c r="L188" s="148"/>
      <c r="M188" s="148"/>
      <c r="N188" s="148"/>
      <c r="O188" s="148"/>
      <c r="P188" s="148"/>
      <c r="Q188" s="148"/>
      <c r="R188" s="148"/>
      <c r="S188" s="148"/>
      <c r="T188" s="148"/>
      <c r="U188" s="148"/>
      <c r="V188" s="148"/>
      <c r="W188" s="148"/>
      <c r="X188" s="148"/>
      <c r="Y188" s="142"/>
      <c r="Z188" s="148"/>
      <c r="AA188" s="148"/>
      <c r="AB188" s="148"/>
      <c r="AC188" s="148"/>
      <c r="AD188" s="148"/>
      <c r="AE188" s="148"/>
      <c r="AF188" s="148"/>
      <c r="AG188" s="148"/>
      <c r="AH188" s="148"/>
      <c r="AI188" s="148"/>
      <c r="AJ188" s="148"/>
      <c r="AK188" s="148"/>
      <c r="AL188" s="148"/>
      <c r="AM188" s="148"/>
      <c r="AN188" s="148"/>
      <c r="AO188" s="204"/>
      <c r="AP188" s="204"/>
      <c r="AQ188" s="204"/>
      <c r="AR188" s="204"/>
      <c r="AT188" s="163" t="str">
        <f>IF(BK202=0,"（表4）エラーなし","！（表4）エラー情報あり")</f>
        <v>！（表4）エラー情報あり</v>
      </c>
    </row>
    <row r="189" spans="5:44" ht="7.5" customHeight="1">
      <c r="E189" s="204"/>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204"/>
      <c r="AP189" s="204"/>
      <c r="AQ189" s="204"/>
      <c r="AR189" s="204"/>
    </row>
    <row r="190" spans="5:44" ht="12.75" customHeight="1" thickBot="1">
      <c r="E190" s="204"/>
      <c r="F190" s="351" t="s">
        <v>292</v>
      </c>
      <c r="G190" s="352"/>
      <c r="H190" s="352"/>
      <c r="I190" s="352"/>
      <c r="J190" s="352"/>
      <c r="K190" s="352"/>
      <c r="L190" s="352"/>
      <c r="M190" s="352"/>
      <c r="N190" s="352"/>
      <c r="O190" s="352"/>
      <c r="P190" s="352"/>
      <c r="Q190" s="353"/>
      <c r="R190" s="294" t="s">
        <v>97</v>
      </c>
      <c r="S190" s="295"/>
      <c r="T190" s="295"/>
      <c r="U190" s="295"/>
      <c r="V190" s="295"/>
      <c r="W190" s="295"/>
      <c r="X190" s="295"/>
      <c r="Y190" s="295"/>
      <c r="Z190" s="295"/>
      <c r="AA190" s="295"/>
      <c r="AB190" s="295"/>
      <c r="AC190" s="295"/>
      <c r="AD190" s="296"/>
      <c r="AE190" s="294" t="s">
        <v>78</v>
      </c>
      <c r="AF190" s="295"/>
      <c r="AG190" s="295"/>
      <c r="AH190" s="295"/>
      <c r="AI190" s="295"/>
      <c r="AJ190" s="295"/>
      <c r="AK190" s="295"/>
      <c r="AL190" s="295"/>
      <c r="AM190" s="580"/>
      <c r="AN190" s="580"/>
      <c r="AO190" s="580"/>
      <c r="AP190" s="580"/>
      <c r="AQ190" s="600"/>
      <c r="AR190" s="204"/>
    </row>
    <row r="191" spans="5:63" ht="12.75" customHeight="1" thickBot="1" thickTop="1">
      <c r="E191" s="204"/>
      <c r="F191" s="354"/>
      <c r="G191" s="355"/>
      <c r="H191" s="355"/>
      <c r="I191" s="355"/>
      <c r="J191" s="355"/>
      <c r="K191" s="355"/>
      <c r="L191" s="355"/>
      <c r="M191" s="355"/>
      <c r="N191" s="355"/>
      <c r="O191" s="355"/>
      <c r="P191" s="355"/>
      <c r="Q191" s="356"/>
      <c r="R191" s="622"/>
      <c r="S191" s="623"/>
      <c r="T191" s="623"/>
      <c r="U191" s="623"/>
      <c r="V191" s="623"/>
      <c r="W191" s="623"/>
      <c r="X191" s="623"/>
      <c r="Y191" s="624"/>
      <c r="Z191" s="291" t="s">
        <v>79</v>
      </c>
      <c r="AA191" s="292"/>
      <c r="AB191" s="292"/>
      <c r="AC191" s="292"/>
      <c r="AD191" s="293"/>
      <c r="AE191" s="622"/>
      <c r="AF191" s="623"/>
      <c r="AG191" s="623"/>
      <c r="AH191" s="623"/>
      <c r="AI191" s="623"/>
      <c r="AJ191" s="623"/>
      <c r="AK191" s="623"/>
      <c r="AL191" s="624"/>
      <c r="AM191" s="283" t="s">
        <v>79</v>
      </c>
      <c r="AN191" s="284"/>
      <c r="AO191" s="284"/>
      <c r="AP191" s="284"/>
      <c r="AQ191" s="425"/>
      <c r="AR191" s="204"/>
      <c r="AZ191" s="277" t="s">
        <v>354</v>
      </c>
      <c r="BA191" s="277"/>
      <c r="BB191" s="277" t="s">
        <v>355</v>
      </c>
      <c r="BC191" s="277"/>
      <c r="BD191" s="277" t="s">
        <v>408</v>
      </c>
      <c r="BE191" s="277"/>
      <c r="BF191" s="277" t="s">
        <v>409</v>
      </c>
      <c r="BG191" s="277"/>
      <c r="BH191" s="277" t="s">
        <v>356</v>
      </c>
      <c r="BI191" s="277"/>
      <c r="BJ191" s="156"/>
      <c r="BK191" s="222" t="s">
        <v>485</v>
      </c>
    </row>
    <row r="192" spans="5:66" ht="12.75" customHeight="1" thickBot="1" thickTop="1">
      <c r="E192" s="204"/>
      <c r="F192" s="31"/>
      <c r="G192" s="32"/>
      <c r="H192" s="32"/>
      <c r="I192" s="32"/>
      <c r="J192" s="32"/>
      <c r="K192" s="32"/>
      <c r="L192" s="32"/>
      <c r="M192" s="32"/>
      <c r="N192" s="32"/>
      <c r="O192" s="32"/>
      <c r="P192" s="32"/>
      <c r="Q192" s="33"/>
      <c r="R192" s="568" t="s">
        <v>71</v>
      </c>
      <c r="S192" s="422"/>
      <c r="T192" s="422"/>
      <c r="U192" s="422"/>
      <c r="V192" s="422"/>
      <c r="W192" s="422"/>
      <c r="X192" s="422"/>
      <c r="Y192" s="423"/>
      <c r="Z192" s="466" t="s">
        <v>72</v>
      </c>
      <c r="AA192" s="422"/>
      <c r="AB192" s="422"/>
      <c r="AC192" s="422"/>
      <c r="AD192" s="467"/>
      <c r="AE192" s="305" t="str">
        <f>$X$393</f>
        <v>千円</v>
      </c>
      <c r="AF192" s="306"/>
      <c r="AG192" s="306"/>
      <c r="AH192" s="306"/>
      <c r="AI192" s="306"/>
      <c r="AJ192" s="306"/>
      <c r="AK192" s="306"/>
      <c r="AL192" s="307"/>
      <c r="AM192" s="466" t="s">
        <v>80</v>
      </c>
      <c r="AN192" s="422"/>
      <c r="AO192" s="422"/>
      <c r="AP192" s="422"/>
      <c r="AQ192" s="467"/>
      <c r="AS192" s="149" t="str">
        <f aca="true" t="shared" si="36" ref="AS192:AS201">BK192</f>
        <v>　　（↓エラー情報↓）</v>
      </c>
      <c r="AV192" s="155" t="s">
        <v>437</v>
      </c>
      <c r="AW192" s="155" t="s">
        <v>438</v>
      </c>
      <c r="AZ192" s="199" t="s">
        <v>410</v>
      </c>
      <c r="BA192" s="198" t="s">
        <v>353</v>
      </c>
      <c r="BB192" s="199" t="s">
        <v>410</v>
      </c>
      <c r="BC192" s="198" t="s">
        <v>353</v>
      </c>
      <c r="BD192" s="199" t="s">
        <v>410</v>
      </c>
      <c r="BE192" s="198" t="s">
        <v>353</v>
      </c>
      <c r="BF192" s="199" t="s">
        <v>410</v>
      </c>
      <c r="BG192" s="198" t="s">
        <v>353</v>
      </c>
      <c r="BH192" s="199" t="s">
        <v>410</v>
      </c>
      <c r="BI192" s="198" t="s">
        <v>353</v>
      </c>
      <c r="BJ192" s="159"/>
      <c r="BK192" s="221" t="str">
        <f>IF(BK191="表示","　　（↓エラー情報↓）","")</f>
        <v>　　（↓エラー情報↓）</v>
      </c>
      <c r="BL192" s="155" t="s">
        <v>427</v>
      </c>
      <c r="BM192" s="155" t="s">
        <v>296</v>
      </c>
      <c r="BN192" s="155" t="s">
        <v>426</v>
      </c>
    </row>
    <row r="193" spans="5:66" ht="16.5" customHeight="1">
      <c r="E193" s="204"/>
      <c r="F193" s="622" t="s">
        <v>116</v>
      </c>
      <c r="G193" s="623"/>
      <c r="H193" s="623"/>
      <c r="I193" s="623"/>
      <c r="J193" s="623"/>
      <c r="K193" s="623"/>
      <c r="L193" s="623"/>
      <c r="M193" s="623"/>
      <c r="N193" s="623"/>
      <c r="O193" s="623"/>
      <c r="P193" s="623"/>
      <c r="Q193" s="623"/>
      <c r="R193" s="364"/>
      <c r="S193" s="365"/>
      <c r="T193" s="365"/>
      <c r="U193" s="365"/>
      <c r="V193" s="365"/>
      <c r="W193" s="365"/>
      <c r="X193" s="365"/>
      <c r="Y193" s="366"/>
      <c r="Z193" s="297">
        <f aca="true" t="shared" si="37" ref="Z193:Z199">IF(OR(AV$200=0,AV193=0),0,ROUNDDOWN(R193/R$200,4)*100)</f>
        <v>0</v>
      </c>
      <c r="AA193" s="298"/>
      <c r="AB193" s="298"/>
      <c r="AC193" s="298"/>
      <c r="AD193" s="321"/>
      <c r="AE193" s="364"/>
      <c r="AF193" s="365"/>
      <c r="AG193" s="365"/>
      <c r="AH193" s="365"/>
      <c r="AI193" s="365"/>
      <c r="AJ193" s="365"/>
      <c r="AK193" s="365"/>
      <c r="AL193" s="366"/>
      <c r="AM193" s="297">
        <f aca="true" t="shared" si="38" ref="AM193:AM199">IF(OR(AW$200=0,AW193=0),0,ROUNDDOWN(AE193/AE$200,4)*100)</f>
        <v>0</v>
      </c>
      <c r="AN193" s="298"/>
      <c r="AO193" s="298"/>
      <c r="AP193" s="298"/>
      <c r="AQ193" s="299"/>
      <c r="AS193" s="149">
        <f t="shared" si="36"/>
      </c>
      <c r="AV193" s="231">
        <f>IF(R193="-",0,R193)</f>
        <v>0</v>
      </c>
      <c r="AW193" s="231">
        <f>IF(AE193="-",0,AE193)</f>
        <v>0</v>
      </c>
      <c r="AY193" s="167">
        <v>1</v>
      </c>
      <c r="AZ193" s="168" t="str">
        <f>CONCATENATE(IF(OR(R193="",R193="-"),"無","有"),IF(OR(AE193="",AE193="-"),"無","有"))</f>
        <v>無無</v>
      </c>
      <c r="BA193" s="169">
        <f aca="true" t="shared" si="39" ref="BA193:BA201">IF(ISNA(VLOOKUP(AZ193,AZ$75:BA$91,2,FALSE))=TRUE,"",VLOOKUP(AZ193,AZ$75:BA$91,2,FALSE))</f>
      </c>
      <c r="BB193" s="170" t="s">
        <v>276</v>
      </c>
      <c r="BC193" s="171"/>
      <c r="BD193" s="168" t="str">
        <f aca="true" t="shared" si="40" ref="BD193:BD200">IF(AZ193="有有",IF(AW193/AV193&gt;BL193,"高額","ok"),"-")</f>
        <v>-</v>
      </c>
      <c r="BE193" s="169">
        <f aca="true" t="shared" si="41" ref="BE193:BE200">IF(ISNA(VLOOKUP(BD193,BD$75:BE$91,2,FALSE))=TRUE,"",VLOOKUP(BD193,BD$75:BE$91,2,FALSE))</f>
      </c>
      <c r="BF193" s="170" t="s">
        <v>276</v>
      </c>
      <c r="BG193" s="176"/>
      <c r="BH193" s="170" t="s">
        <v>276</v>
      </c>
      <c r="BI193" s="188"/>
      <c r="BJ193" s="156">
        <f aca="true" t="shared" si="42" ref="BJ193:BJ201">IF(AND(BA193="",BC193="",BE193="",BG193="",BI193=""),"","←")</f>
      </c>
      <c r="BK193" s="174">
        <f>IF(BK$191="表示",CONCATENATE(BJ193,BA193,BC193,BE193,BG193,BI193),"")</f>
      </c>
      <c r="BL193" s="225">
        <f aca="true" t="shared" si="43" ref="BL193:BL200">IF(Z$98="百万円",BM193,BN193)</f>
        <v>1000000000</v>
      </c>
      <c r="BM193" s="225">
        <v>1000000</v>
      </c>
      <c r="BN193" s="225">
        <v>1000000000</v>
      </c>
    </row>
    <row r="194" spans="5:66" ht="16.5" customHeight="1">
      <c r="E194" s="204"/>
      <c r="F194" s="25"/>
      <c r="G194" s="203"/>
      <c r="H194" s="211" t="s">
        <v>117</v>
      </c>
      <c r="I194" s="206" t="s">
        <v>118</v>
      </c>
      <c r="J194" s="203"/>
      <c r="K194" s="203"/>
      <c r="L194" s="211" t="s">
        <v>119</v>
      </c>
      <c r="M194" s="206" t="s">
        <v>120</v>
      </c>
      <c r="N194" s="203"/>
      <c r="O194" s="203"/>
      <c r="P194" s="203"/>
      <c r="Q194" s="203"/>
      <c r="R194" s="340"/>
      <c r="S194" s="341"/>
      <c r="T194" s="341"/>
      <c r="U194" s="341"/>
      <c r="V194" s="341"/>
      <c r="W194" s="341"/>
      <c r="X194" s="341"/>
      <c r="Y194" s="342"/>
      <c r="Z194" s="297">
        <f t="shared" si="37"/>
        <v>0</v>
      </c>
      <c r="AA194" s="298"/>
      <c r="AB194" s="298"/>
      <c r="AC194" s="298"/>
      <c r="AD194" s="321"/>
      <c r="AE194" s="340"/>
      <c r="AF194" s="341"/>
      <c r="AG194" s="341"/>
      <c r="AH194" s="341"/>
      <c r="AI194" s="341"/>
      <c r="AJ194" s="341"/>
      <c r="AK194" s="341"/>
      <c r="AL194" s="342"/>
      <c r="AM194" s="297">
        <f t="shared" si="38"/>
        <v>0</v>
      </c>
      <c r="AN194" s="298"/>
      <c r="AO194" s="298"/>
      <c r="AP194" s="298"/>
      <c r="AQ194" s="299"/>
      <c r="AS194" s="149">
        <f t="shared" si="36"/>
      </c>
      <c r="AV194" s="232">
        <f aca="true" t="shared" si="44" ref="AV194:AV199">IF(R194="-",0,R194)</f>
        <v>0</v>
      </c>
      <c r="AW194" s="232">
        <f aca="true" t="shared" si="45" ref="AW194:AW200">IF(AE194="-",0,AE194)</f>
        <v>0</v>
      </c>
      <c r="AY194" s="167">
        <v>2</v>
      </c>
      <c r="AZ194" s="172" t="str">
        <f aca="true" t="shared" si="46" ref="AZ194:AZ200">CONCATENATE(IF(OR(R194="",R194="-"),"無","有"),IF(OR(AE194="",AE194="-"),"無","有"))</f>
        <v>無無</v>
      </c>
      <c r="BA194" s="169">
        <f t="shared" si="39"/>
      </c>
      <c r="BB194" s="175" t="s">
        <v>276</v>
      </c>
      <c r="BC194" s="176"/>
      <c r="BD194" s="172" t="str">
        <f t="shared" si="40"/>
        <v>-</v>
      </c>
      <c r="BE194" s="169">
        <f t="shared" si="41"/>
      </c>
      <c r="BF194" s="175" t="s">
        <v>276</v>
      </c>
      <c r="BG194" s="176"/>
      <c r="BH194" s="175" t="s">
        <v>276</v>
      </c>
      <c r="BI194" s="188"/>
      <c r="BJ194" s="156">
        <f t="shared" si="42"/>
      </c>
      <c r="BK194" s="189">
        <f aca="true" t="shared" si="47" ref="BK194:BK201">IF(BK$191="表示",CONCATENATE(BJ194,BA194,BC194,BE194,BG194,BI194),"")</f>
      </c>
      <c r="BL194" s="225">
        <f t="shared" si="43"/>
        <v>1000000000</v>
      </c>
      <c r="BM194" s="225">
        <v>1000000</v>
      </c>
      <c r="BN194" s="225">
        <v>1000000000</v>
      </c>
    </row>
    <row r="195" spans="5:66" ht="16.5" customHeight="1">
      <c r="E195" s="204"/>
      <c r="F195" s="25"/>
      <c r="G195" s="203"/>
      <c r="H195" s="211" t="s">
        <v>121</v>
      </c>
      <c r="I195" s="285" t="s">
        <v>122</v>
      </c>
      <c r="J195" s="285"/>
      <c r="K195" s="203"/>
      <c r="L195" s="203" t="s">
        <v>123</v>
      </c>
      <c r="M195" s="285" t="s">
        <v>124</v>
      </c>
      <c r="N195" s="285"/>
      <c r="O195" s="206"/>
      <c r="P195" s="206"/>
      <c r="Q195" s="67"/>
      <c r="R195" s="340"/>
      <c r="S195" s="341"/>
      <c r="T195" s="341"/>
      <c r="U195" s="341"/>
      <c r="V195" s="341"/>
      <c r="W195" s="341"/>
      <c r="X195" s="341"/>
      <c r="Y195" s="342"/>
      <c r="Z195" s="297">
        <f t="shared" si="37"/>
        <v>0</v>
      </c>
      <c r="AA195" s="298"/>
      <c r="AB195" s="298"/>
      <c r="AC195" s="298"/>
      <c r="AD195" s="321"/>
      <c r="AE195" s="340"/>
      <c r="AF195" s="341"/>
      <c r="AG195" s="341"/>
      <c r="AH195" s="341"/>
      <c r="AI195" s="341"/>
      <c r="AJ195" s="341"/>
      <c r="AK195" s="341"/>
      <c r="AL195" s="342"/>
      <c r="AM195" s="297">
        <f t="shared" si="38"/>
        <v>0</v>
      </c>
      <c r="AN195" s="298"/>
      <c r="AO195" s="298"/>
      <c r="AP195" s="298"/>
      <c r="AQ195" s="299"/>
      <c r="AS195" s="149">
        <f t="shared" si="36"/>
      </c>
      <c r="AV195" s="232">
        <f t="shared" si="44"/>
        <v>0</v>
      </c>
      <c r="AW195" s="232">
        <f t="shared" si="45"/>
        <v>0</v>
      </c>
      <c r="AY195" s="167">
        <v>3</v>
      </c>
      <c r="AZ195" s="172" t="str">
        <f t="shared" si="46"/>
        <v>無無</v>
      </c>
      <c r="BA195" s="169">
        <f t="shared" si="39"/>
      </c>
      <c r="BB195" s="175" t="s">
        <v>276</v>
      </c>
      <c r="BC195" s="176"/>
      <c r="BD195" s="172" t="str">
        <f t="shared" si="40"/>
        <v>-</v>
      </c>
      <c r="BE195" s="169">
        <f t="shared" si="41"/>
      </c>
      <c r="BF195" s="175" t="s">
        <v>276</v>
      </c>
      <c r="BG195" s="176"/>
      <c r="BH195" s="175" t="s">
        <v>276</v>
      </c>
      <c r="BI195" s="188"/>
      <c r="BJ195" s="156">
        <f t="shared" si="42"/>
      </c>
      <c r="BK195" s="189">
        <f t="shared" si="47"/>
      </c>
      <c r="BL195" s="225">
        <f t="shared" si="43"/>
        <v>1000000000</v>
      </c>
      <c r="BM195" s="225">
        <v>1000000</v>
      </c>
      <c r="BN195" s="225">
        <v>1000000000</v>
      </c>
    </row>
    <row r="196" spans="5:66" ht="16.5" customHeight="1">
      <c r="E196" s="204"/>
      <c r="F196" s="25"/>
      <c r="G196" s="203"/>
      <c r="H196" s="211" t="s">
        <v>123</v>
      </c>
      <c r="I196" s="285" t="s">
        <v>122</v>
      </c>
      <c r="J196" s="285"/>
      <c r="K196" s="203"/>
      <c r="L196" s="203" t="s">
        <v>125</v>
      </c>
      <c r="M196" s="285" t="s">
        <v>124</v>
      </c>
      <c r="N196" s="285"/>
      <c r="O196" s="206"/>
      <c r="P196" s="206"/>
      <c r="Q196" s="203"/>
      <c r="R196" s="340"/>
      <c r="S196" s="341"/>
      <c r="T196" s="341"/>
      <c r="U196" s="341"/>
      <c r="V196" s="341"/>
      <c r="W196" s="341"/>
      <c r="X196" s="341"/>
      <c r="Y196" s="342"/>
      <c r="Z196" s="297">
        <f t="shared" si="37"/>
        <v>0</v>
      </c>
      <c r="AA196" s="298"/>
      <c r="AB196" s="298"/>
      <c r="AC196" s="298"/>
      <c r="AD196" s="321"/>
      <c r="AE196" s="340"/>
      <c r="AF196" s="341"/>
      <c r="AG196" s="341"/>
      <c r="AH196" s="341"/>
      <c r="AI196" s="341"/>
      <c r="AJ196" s="341"/>
      <c r="AK196" s="341"/>
      <c r="AL196" s="342"/>
      <c r="AM196" s="297">
        <f t="shared" si="38"/>
        <v>0</v>
      </c>
      <c r="AN196" s="298"/>
      <c r="AO196" s="298"/>
      <c r="AP196" s="298"/>
      <c r="AQ196" s="299"/>
      <c r="AS196" s="149">
        <f t="shared" si="36"/>
      </c>
      <c r="AV196" s="232">
        <f t="shared" si="44"/>
        <v>0</v>
      </c>
      <c r="AW196" s="232">
        <f t="shared" si="45"/>
        <v>0</v>
      </c>
      <c r="AY196" s="167">
        <v>4</v>
      </c>
      <c r="AZ196" s="172" t="str">
        <f t="shared" si="46"/>
        <v>無無</v>
      </c>
      <c r="BA196" s="169">
        <f t="shared" si="39"/>
      </c>
      <c r="BB196" s="175" t="s">
        <v>276</v>
      </c>
      <c r="BC196" s="176"/>
      <c r="BD196" s="172" t="str">
        <f t="shared" si="40"/>
        <v>-</v>
      </c>
      <c r="BE196" s="169">
        <f t="shared" si="41"/>
      </c>
      <c r="BF196" s="175" t="s">
        <v>276</v>
      </c>
      <c r="BG196" s="176"/>
      <c r="BH196" s="175" t="s">
        <v>276</v>
      </c>
      <c r="BI196" s="188"/>
      <c r="BJ196" s="156">
        <f t="shared" si="42"/>
      </c>
      <c r="BK196" s="189">
        <f t="shared" si="47"/>
      </c>
      <c r="BL196" s="225">
        <f t="shared" si="43"/>
        <v>1000000000</v>
      </c>
      <c r="BM196" s="225">
        <v>1000000</v>
      </c>
      <c r="BN196" s="225">
        <v>1000000000</v>
      </c>
    </row>
    <row r="197" spans="5:66" ht="16.5" customHeight="1">
      <c r="E197" s="204"/>
      <c r="F197" s="25"/>
      <c r="G197" s="211"/>
      <c r="H197" s="211" t="s">
        <v>125</v>
      </c>
      <c r="I197" s="285" t="s">
        <v>122</v>
      </c>
      <c r="J197" s="285"/>
      <c r="K197" s="203"/>
      <c r="L197" s="211" t="s">
        <v>126</v>
      </c>
      <c r="M197" s="285" t="s">
        <v>124</v>
      </c>
      <c r="N197" s="285"/>
      <c r="O197" s="206"/>
      <c r="P197" s="206"/>
      <c r="Q197" s="203"/>
      <c r="R197" s="340"/>
      <c r="S197" s="341"/>
      <c r="T197" s="341"/>
      <c r="U197" s="341"/>
      <c r="V197" s="341"/>
      <c r="W197" s="341"/>
      <c r="X197" s="341"/>
      <c r="Y197" s="342"/>
      <c r="Z197" s="297">
        <f t="shared" si="37"/>
        <v>0</v>
      </c>
      <c r="AA197" s="298"/>
      <c r="AB197" s="298"/>
      <c r="AC197" s="298"/>
      <c r="AD197" s="321"/>
      <c r="AE197" s="340"/>
      <c r="AF197" s="341"/>
      <c r="AG197" s="341"/>
      <c r="AH197" s="341"/>
      <c r="AI197" s="341"/>
      <c r="AJ197" s="341"/>
      <c r="AK197" s="341"/>
      <c r="AL197" s="342"/>
      <c r="AM197" s="297">
        <f t="shared" si="38"/>
        <v>0</v>
      </c>
      <c r="AN197" s="298"/>
      <c r="AO197" s="298"/>
      <c r="AP197" s="298"/>
      <c r="AQ197" s="299"/>
      <c r="AS197" s="149">
        <f t="shared" si="36"/>
      </c>
      <c r="AV197" s="232">
        <f t="shared" si="44"/>
        <v>0</v>
      </c>
      <c r="AW197" s="232">
        <f t="shared" si="45"/>
        <v>0</v>
      </c>
      <c r="AY197" s="167">
        <v>5</v>
      </c>
      <c r="AZ197" s="172" t="str">
        <f t="shared" si="46"/>
        <v>無無</v>
      </c>
      <c r="BA197" s="169">
        <f t="shared" si="39"/>
      </c>
      <c r="BB197" s="175" t="s">
        <v>276</v>
      </c>
      <c r="BC197" s="176"/>
      <c r="BD197" s="172" t="str">
        <f t="shared" si="40"/>
        <v>-</v>
      </c>
      <c r="BE197" s="169">
        <f t="shared" si="41"/>
      </c>
      <c r="BF197" s="175" t="s">
        <v>276</v>
      </c>
      <c r="BG197" s="176"/>
      <c r="BH197" s="175" t="s">
        <v>276</v>
      </c>
      <c r="BI197" s="188"/>
      <c r="BJ197" s="156">
        <f t="shared" si="42"/>
      </c>
      <c r="BK197" s="189">
        <f t="shared" si="47"/>
      </c>
      <c r="BL197" s="225">
        <f t="shared" si="43"/>
        <v>1000000000</v>
      </c>
      <c r="BM197" s="225">
        <v>1000000</v>
      </c>
      <c r="BN197" s="225">
        <v>1000000000</v>
      </c>
    </row>
    <row r="198" spans="5:66" ht="16.5" customHeight="1">
      <c r="E198" s="204"/>
      <c r="F198" s="26"/>
      <c r="G198" s="19"/>
      <c r="H198" s="35" t="s">
        <v>126</v>
      </c>
      <c r="I198" s="316" t="s">
        <v>122</v>
      </c>
      <c r="J198" s="316"/>
      <c r="K198" s="19"/>
      <c r="L198" s="19" t="s">
        <v>127</v>
      </c>
      <c r="M198" s="316" t="s">
        <v>124</v>
      </c>
      <c r="N198" s="316"/>
      <c r="O198" s="207"/>
      <c r="P198" s="207"/>
      <c r="Q198" s="19"/>
      <c r="R198" s="340"/>
      <c r="S198" s="341"/>
      <c r="T198" s="341"/>
      <c r="U198" s="341"/>
      <c r="V198" s="341"/>
      <c r="W198" s="341"/>
      <c r="X198" s="341"/>
      <c r="Y198" s="342"/>
      <c r="Z198" s="297">
        <f t="shared" si="37"/>
        <v>0</v>
      </c>
      <c r="AA198" s="298"/>
      <c r="AB198" s="298"/>
      <c r="AC198" s="298"/>
      <c r="AD198" s="321"/>
      <c r="AE198" s="340"/>
      <c r="AF198" s="341"/>
      <c r="AG198" s="341"/>
      <c r="AH198" s="341"/>
      <c r="AI198" s="341"/>
      <c r="AJ198" s="341"/>
      <c r="AK198" s="341"/>
      <c r="AL198" s="342"/>
      <c r="AM198" s="297">
        <f t="shared" si="38"/>
        <v>0</v>
      </c>
      <c r="AN198" s="298"/>
      <c r="AO198" s="298"/>
      <c r="AP198" s="298"/>
      <c r="AQ198" s="299"/>
      <c r="AS198" s="149">
        <f t="shared" si="36"/>
      </c>
      <c r="AV198" s="232">
        <f t="shared" si="44"/>
        <v>0</v>
      </c>
      <c r="AW198" s="232">
        <f t="shared" si="45"/>
        <v>0</v>
      </c>
      <c r="AY198" s="167">
        <v>6</v>
      </c>
      <c r="AZ198" s="172" t="str">
        <f t="shared" si="46"/>
        <v>無無</v>
      </c>
      <c r="BA198" s="169">
        <f>IF(ISNA(VLOOKUP(AZ198,AZ$75:BA$91,2,FALSE))=TRUE,"",VLOOKUP(AZ198,AZ$75:BA$91,2,FALSE))</f>
      </c>
      <c r="BB198" s="175" t="s">
        <v>276</v>
      </c>
      <c r="BC198" s="176"/>
      <c r="BD198" s="172" t="str">
        <f>IF(AZ198="有有",IF(AW198/AV198&gt;BL198,"高額","ok"),"-")</f>
        <v>-</v>
      </c>
      <c r="BE198" s="169">
        <f t="shared" si="41"/>
      </c>
      <c r="BF198" s="175" t="s">
        <v>276</v>
      </c>
      <c r="BG198" s="176"/>
      <c r="BH198" s="175" t="s">
        <v>276</v>
      </c>
      <c r="BI198" s="188"/>
      <c r="BJ198" s="156">
        <f t="shared" si="42"/>
      </c>
      <c r="BK198" s="189">
        <f t="shared" si="47"/>
      </c>
      <c r="BL198" s="225">
        <f t="shared" si="43"/>
        <v>1000000000</v>
      </c>
      <c r="BM198" s="225">
        <v>1000000</v>
      </c>
      <c r="BN198" s="225">
        <v>1000000000</v>
      </c>
    </row>
    <row r="199" spans="5:66" ht="16.5" customHeight="1">
      <c r="E199" s="204"/>
      <c r="F199" s="27"/>
      <c r="G199" s="21"/>
      <c r="H199" s="38" t="s">
        <v>127</v>
      </c>
      <c r="I199" s="212" t="s">
        <v>118</v>
      </c>
      <c r="J199" s="212"/>
      <c r="K199" s="21"/>
      <c r="L199" s="21"/>
      <c r="M199" s="38"/>
      <c r="N199" s="212"/>
      <c r="O199" s="212"/>
      <c r="P199" s="212"/>
      <c r="Q199" s="21"/>
      <c r="R199" s="419"/>
      <c r="S199" s="420"/>
      <c r="T199" s="420"/>
      <c r="U199" s="420"/>
      <c r="V199" s="420"/>
      <c r="W199" s="420"/>
      <c r="X199" s="420"/>
      <c r="Y199" s="421"/>
      <c r="Z199" s="297">
        <f t="shared" si="37"/>
        <v>0</v>
      </c>
      <c r="AA199" s="298"/>
      <c r="AB199" s="298"/>
      <c r="AC199" s="298"/>
      <c r="AD199" s="321"/>
      <c r="AE199" s="419"/>
      <c r="AF199" s="420"/>
      <c r="AG199" s="420"/>
      <c r="AH199" s="420"/>
      <c r="AI199" s="420"/>
      <c r="AJ199" s="420"/>
      <c r="AK199" s="420"/>
      <c r="AL199" s="421"/>
      <c r="AM199" s="297">
        <f t="shared" si="38"/>
        <v>0</v>
      </c>
      <c r="AN199" s="298"/>
      <c r="AO199" s="298"/>
      <c r="AP199" s="298"/>
      <c r="AQ199" s="299"/>
      <c r="AS199" s="149">
        <f t="shared" si="36"/>
      </c>
      <c r="AV199" s="233">
        <f t="shared" si="44"/>
        <v>0</v>
      </c>
      <c r="AW199" s="233">
        <f t="shared" si="45"/>
        <v>0</v>
      </c>
      <c r="AY199" s="167">
        <v>7</v>
      </c>
      <c r="AZ199" s="172" t="str">
        <f t="shared" si="46"/>
        <v>無無</v>
      </c>
      <c r="BA199" s="169">
        <f t="shared" si="39"/>
      </c>
      <c r="BB199" s="175" t="s">
        <v>276</v>
      </c>
      <c r="BC199" s="176"/>
      <c r="BD199" s="172" t="str">
        <f t="shared" si="40"/>
        <v>-</v>
      </c>
      <c r="BE199" s="169">
        <f t="shared" si="41"/>
      </c>
      <c r="BF199" s="175" t="s">
        <v>276</v>
      </c>
      <c r="BG199" s="176"/>
      <c r="BH199" s="175" t="s">
        <v>276</v>
      </c>
      <c r="BI199" s="188"/>
      <c r="BJ199" s="156">
        <f t="shared" si="42"/>
      </c>
      <c r="BK199" s="189">
        <f t="shared" si="47"/>
      </c>
      <c r="BL199" s="225">
        <f t="shared" si="43"/>
        <v>1000000000</v>
      </c>
      <c r="BM199" s="225">
        <v>1000000</v>
      </c>
      <c r="BN199" s="225">
        <v>1000000000</v>
      </c>
    </row>
    <row r="200" spans="5:66" ht="16.5" customHeight="1" thickBot="1">
      <c r="E200" s="148"/>
      <c r="F200" s="28"/>
      <c r="G200" s="29"/>
      <c r="H200" s="36"/>
      <c r="I200" s="401" t="s">
        <v>128</v>
      </c>
      <c r="J200" s="401"/>
      <c r="K200" s="401"/>
      <c r="L200" s="401"/>
      <c r="M200" s="401"/>
      <c r="N200" s="401"/>
      <c r="O200" s="29"/>
      <c r="P200" s="29"/>
      <c r="Q200" s="29"/>
      <c r="R200" s="348">
        <f>SUM(R193:Y199)</f>
        <v>0</v>
      </c>
      <c r="S200" s="349"/>
      <c r="T200" s="349"/>
      <c r="U200" s="349"/>
      <c r="V200" s="349"/>
      <c r="W200" s="349"/>
      <c r="X200" s="349"/>
      <c r="Y200" s="350"/>
      <c r="Z200" s="312">
        <v>100</v>
      </c>
      <c r="AA200" s="312"/>
      <c r="AB200" s="312"/>
      <c r="AC200" s="312"/>
      <c r="AD200" s="312"/>
      <c r="AE200" s="348" t="str">
        <f>AE174</f>
        <v>-</v>
      </c>
      <c r="AF200" s="349"/>
      <c r="AG200" s="349"/>
      <c r="AH200" s="349"/>
      <c r="AI200" s="349"/>
      <c r="AJ200" s="349"/>
      <c r="AK200" s="349"/>
      <c r="AL200" s="350"/>
      <c r="AM200" s="312">
        <v>100</v>
      </c>
      <c r="AN200" s="312"/>
      <c r="AO200" s="312"/>
      <c r="AP200" s="312"/>
      <c r="AQ200" s="526"/>
      <c r="AS200" s="149" t="str">
        <f t="shared" si="36"/>
        <v>←残高が未記入。</v>
      </c>
      <c r="AV200" s="241">
        <f>IF(R200="-",0,R200)</f>
        <v>0</v>
      </c>
      <c r="AW200" s="241">
        <f t="shared" si="45"/>
        <v>0</v>
      </c>
      <c r="AY200" s="167">
        <v>8</v>
      </c>
      <c r="AZ200" s="172" t="str">
        <f t="shared" si="46"/>
        <v>有無</v>
      </c>
      <c r="BA200" s="169" t="str">
        <f>IF(ISNA(VLOOKUP(AZ200,AZ$75:BA$91,2,FALSE))=TRUE,"",VLOOKUP(AZ200,AZ$75:BA$91,2,FALSE))</f>
        <v>残高が未記入。</v>
      </c>
      <c r="BB200" s="172" t="str">
        <f>CONCATENATE(IF(AV200=SUM(AV193:AV199),"合","不"),IF(AND(SUM(AW193:AW199)&lt;=AW200,AW200&lt;=(SUM(AW193:AW199)+7)),"合","不"))</f>
        <v>合合</v>
      </c>
      <c r="BC200" s="178">
        <f>IF(ISNA(VLOOKUP(BB200,BB$75:BC$91,2,FALSE))=TRUE,"",VLOOKUP(BB200,BB$75:BC$91,2,FALSE))</f>
      </c>
      <c r="BD200" s="172" t="str">
        <f t="shared" si="40"/>
        <v>-</v>
      </c>
      <c r="BE200" s="169">
        <f t="shared" si="41"/>
      </c>
      <c r="BF200" s="175" t="s">
        <v>276</v>
      </c>
      <c r="BG200" s="176"/>
      <c r="BH200" s="172" t="str">
        <f>IF(BG202=0,IF(R200=Q$108,IF(AE200=Z$108,"正正計","正誤計"),IF(AE200=Z$108,"誤正計","誤誤計")),"-")</f>
        <v>-</v>
      </c>
      <c r="BI200" s="182">
        <f>IF(ISNA(VLOOKUP(BH200,BH$75:BI$91,2,FALSE))=TRUE,"",VLOOKUP(BH200,BH$75:BI$91,2,FALSE))</f>
      </c>
      <c r="BJ200" s="156" t="str">
        <f t="shared" si="42"/>
        <v>←</v>
      </c>
      <c r="BK200" s="189" t="str">
        <f t="shared" si="47"/>
        <v>←残高が未記入。</v>
      </c>
      <c r="BL200" s="225">
        <f t="shared" si="43"/>
        <v>1000000000</v>
      </c>
      <c r="BM200" s="225">
        <v>1000000</v>
      </c>
      <c r="BN200" s="225">
        <v>1000000000</v>
      </c>
    </row>
    <row r="201" spans="5:66" ht="16.5" customHeight="1" thickBot="1">
      <c r="E201" s="204"/>
      <c r="F201" s="281" t="s">
        <v>129</v>
      </c>
      <c r="G201" s="591"/>
      <c r="H201" s="591"/>
      <c r="I201" s="591"/>
      <c r="J201" s="591"/>
      <c r="K201" s="591"/>
      <c r="L201" s="591"/>
      <c r="M201" s="591"/>
      <c r="N201" s="591"/>
      <c r="O201" s="591"/>
      <c r="P201" s="591"/>
      <c r="Q201" s="591"/>
      <c r="R201" s="592"/>
      <c r="S201" s="592"/>
      <c r="T201" s="592"/>
      <c r="U201" s="592"/>
      <c r="V201" s="592"/>
      <c r="W201" s="592"/>
      <c r="X201" s="592"/>
      <c r="Y201" s="592"/>
      <c r="Z201" s="591"/>
      <c r="AA201" s="591"/>
      <c r="AB201" s="591"/>
      <c r="AC201" s="591"/>
      <c r="AD201" s="591"/>
      <c r="AE201" s="679">
        <f>IF(AI201="","",ROUNDDOWN(AI201/12,2))</f>
      </c>
      <c r="AF201" s="680"/>
      <c r="AG201" s="680"/>
      <c r="AH201" s="267" t="s">
        <v>487</v>
      </c>
      <c r="AI201" s="304"/>
      <c r="AJ201" s="304"/>
      <c r="AK201" s="304"/>
      <c r="AL201" s="266" t="s">
        <v>488</v>
      </c>
      <c r="AM201" s="681"/>
      <c r="AN201" s="681"/>
      <c r="AO201" s="681"/>
      <c r="AP201" s="681"/>
      <c r="AQ201" s="682"/>
      <c r="AS201" s="149" t="str">
        <f t="shared" si="36"/>
        <v>←期間が未記入。</v>
      </c>
      <c r="AW201" s="241">
        <f>IF(AE201="-",0,AE201)</f>
      </c>
      <c r="AY201" s="167">
        <v>9</v>
      </c>
      <c r="AZ201" s="179" t="str">
        <f>CONCATENATE(IF(OR(R200="",R200="-"),"無","有"),IF(OR(AE201="",AE201="-"),"無期","有期"))</f>
        <v>有無期</v>
      </c>
      <c r="BA201" s="169" t="str">
        <f t="shared" si="39"/>
        <v>期間が未記入。</v>
      </c>
      <c r="BB201" s="179" t="str">
        <f>IF(SUM(AV193:AV199)=0,"-",IF(AND((BB202-10)&lt;AE201,AE201&lt;(BB202+10)),"ok","期間"))</f>
        <v>-</v>
      </c>
      <c r="BC201" s="178">
        <f>IF(ISNA(VLOOKUP(BB201,BB$75:BC$91,2,FALSE))=TRUE,"",VLOOKUP(BB201,BB$75:BC$91,2,FALSE))</f>
      </c>
      <c r="BD201" s="180" t="s">
        <v>276</v>
      </c>
      <c r="BE201" s="176"/>
      <c r="BF201" s="180" t="s">
        <v>276</v>
      </c>
      <c r="BG201" s="176"/>
      <c r="BH201" s="180" t="s">
        <v>276</v>
      </c>
      <c r="BI201" s="188"/>
      <c r="BJ201" s="156" t="str">
        <f t="shared" si="42"/>
        <v>←</v>
      </c>
      <c r="BK201" s="220" t="str">
        <f t="shared" si="47"/>
        <v>←期間が未記入。</v>
      </c>
      <c r="BL201" s="196"/>
      <c r="BM201" s="196"/>
      <c r="BN201" s="196"/>
    </row>
    <row r="202" spans="5:63" ht="16.5" customHeight="1" thickBot="1">
      <c r="E202" s="204"/>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204"/>
      <c r="AQ202" s="204"/>
      <c r="AR202" s="204" t="s">
        <v>211</v>
      </c>
      <c r="AZ202" s="184">
        <f>COUNTIF(AZ193:AZ201,"無無")</f>
        <v>7</v>
      </c>
      <c r="BA202" s="182">
        <f>IF(AZ202=AY201,"｢該当なし」","")</f>
      </c>
      <c r="BB202" s="155" t="str">
        <f>IF(SUM(AV193:AV199)=0,"-",(AV193*0.5+AV194*2.5+AV195*7.5+AV196*12.5+AV197*17.5+AV198*22.5+AV199*30)/AV200)</f>
        <v>-</v>
      </c>
      <c r="BC202" s="153"/>
      <c r="BD202" s="153"/>
      <c r="BE202" s="153"/>
      <c r="BF202" s="181" t="s">
        <v>424</v>
      </c>
      <c r="BG202" s="164">
        <f>(4*AY201)-(COUNTIF(BA193:BA201,"")+COUNTIF(BC193:BC201,"")+COUNTIF(BE193:BE201,"")+COUNTIF(BG193:BG201,""))</f>
        <v>2</v>
      </c>
      <c r="BH202" s="153"/>
      <c r="BI202" s="153"/>
      <c r="BJ202" s="181" t="s">
        <v>425</v>
      </c>
      <c r="BK202" s="164">
        <f>AY201-COUNTIF(BJ193:BJ201,"")</f>
        <v>2</v>
      </c>
    </row>
    <row r="203" spans="5:44" ht="16.5" customHeight="1">
      <c r="E203" s="204"/>
      <c r="F203" s="204" t="s">
        <v>55</v>
      </c>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t="s">
        <v>211</v>
      </c>
    </row>
    <row r="204" spans="5:44" ht="15" customHeight="1">
      <c r="E204" s="204"/>
      <c r="F204" s="204"/>
      <c r="G204" s="286" t="s">
        <v>329</v>
      </c>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86"/>
      <c r="AO204" s="286"/>
      <c r="AP204" s="286"/>
      <c r="AQ204" s="286"/>
      <c r="AR204" s="204" t="s">
        <v>211</v>
      </c>
    </row>
    <row r="205" spans="5:44" ht="15" customHeight="1">
      <c r="E205" s="204"/>
      <c r="F205" s="204"/>
      <c r="G205" s="286" t="s">
        <v>328</v>
      </c>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286"/>
      <c r="AK205" s="286"/>
      <c r="AL205" s="286"/>
      <c r="AM205" s="286"/>
      <c r="AN205" s="286"/>
      <c r="AO205" s="286"/>
      <c r="AP205" s="286"/>
      <c r="AQ205" s="286"/>
      <c r="AR205" s="204" t="s">
        <v>211</v>
      </c>
    </row>
    <row r="206" spans="5:44" ht="15" customHeight="1">
      <c r="E206" s="204"/>
      <c r="F206" s="204"/>
      <c r="G206" s="357" t="s">
        <v>330</v>
      </c>
      <c r="H206" s="357"/>
      <c r="I206" s="357"/>
      <c r="J206" s="357"/>
      <c r="K206" s="357"/>
      <c r="L206" s="357"/>
      <c r="M206" s="357"/>
      <c r="N206" s="357"/>
      <c r="O206" s="357"/>
      <c r="P206" s="357"/>
      <c r="Q206" s="357"/>
      <c r="R206" s="357"/>
      <c r="S206" s="357"/>
      <c r="T206" s="357"/>
      <c r="U206" s="357"/>
      <c r="V206" s="357"/>
      <c r="W206" s="357"/>
      <c r="X206" s="357"/>
      <c r="Y206" s="357"/>
      <c r="Z206" s="357"/>
      <c r="AA206" s="357"/>
      <c r="AB206" s="357"/>
      <c r="AC206" s="357"/>
      <c r="AD206" s="357"/>
      <c r="AE206" s="357"/>
      <c r="AF206" s="357"/>
      <c r="AG206" s="357"/>
      <c r="AH206" s="357"/>
      <c r="AI206" s="357"/>
      <c r="AJ206" s="357"/>
      <c r="AK206" s="357"/>
      <c r="AL206" s="357"/>
      <c r="AM206" s="357"/>
      <c r="AN206" s="357"/>
      <c r="AO206" s="357"/>
      <c r="AP206" s="357"/>
      <c r="AQ206" s="357"/>
      <c r="AR206" s="204"/>
    </row>
    <row r="207" spans="5:44" ht="15" customHeight="1">
      <c r="E207" s="204"/>
      <c r="F207" s="204"/>
      <c r="G207" s="357"/>
      <c r="H207" s="357"/>
      <c r="I207" s="357"/>
      <c r="J207" s="357"/>
      <c r="K207" s="357"/>
      <c r="L207" s="357"/>
      <c r="M207" s="357"/>
      <c r="N207" s="357"/>
      <c r="O207" s="357"/>
      <c r="P207" s="357"/>
      <c r="Q207" s="357"/>
      <c r="R207" s="357"/>
      <c r="S207" s="357"/>
      <c r="T207" s="357"/>
      <c r="U207" s="357"/>
      <c r="V207" s="357"/>
      <c r="W207" s="357"/>
      <c r="X207" s="357"/>
      <c r="Y207" s="357"/>
      <c r="Z207" s="357"/>
      <c r="AA207" s="357"/>
      <c r="AB207" s="357"/>
      <c r="AC207" s="357"/>
      <c r="AD207" s="357"/>
      <c r="AE207" s="357"/>
      <c r="AF207" s="357"/>
      <c r="AG207" s="357"/>
      <c r="AH207" s="357"/>
      <c r="AI207" s="357"/>
      <c r="AJ207" s="357"/>
      <c r="AK207" s="357"/>
      <c r="AL207" s="357"/>
      <c r="AM207" s="357"/>
      <c r="AN207" s="357"/>
      <c r="AO207" s="357"/>
      <c r="AP207" s="357"/>
      <c r="AQ207" s="357"/>
      <c r="AR207" s="40"/>
    </row>
    <row r="208" spans="5:44" ht="15" customHeight="1">
      <c r="E208" s="204"/>
      <c r="F208" s="204"/>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357"/>
      <c r="AI208" s="357"/>
      <c r="AJ208" s="357"/>
      <c r="AK208" s="357"/>
      <c r="AL208" s="357"/>
      <c r="AM208" s="357"/>
      <c r="AN208" s="357"/>
      <c r="AO208" s="357"/>
      <c r="AP208" s="357"/>
      <c r="AQ208" s="357"/>
      <c r="AR208" s="204"/>
    </row>
    <row r="209" spans="5:44" ht="15" customHeight="1">
      <c r="E209" s="204"/>
      <c r="F209" s="204"/>
      <c r="G209" s="286" t="s">
        <v>331</v>
      </c>
      <c r="H209" s="286"/>
      <c r="I209" s="286"/>
      <c r="J209" s="286"/>
      <c r="K209" s="286"/>
      <c r="L209" s="286"/>
      <c r="M209" s="286"/>
      <c r="N209" s="286"/>
      <c r="O209" s="286"/>
      <c r="P209" s="286"/>
      <c r="Q209" s="286"/>
      <c r="R209" s="286"/>
      <c r="S209" s="286"/>
      <c r="T209" s="286"/>
      <c r="U209" s="286"/>
      <c r="V209" s="286"/>
      <c r="W209" s="286"/>
      <c r="X209" s="286"/>
      <c r="Y209" s="286"/>
      <c r="Z209" s="286"/>
      <c r="AA209" s="286"/>
      <c r="AB209" s="286"/>
      <c r="AC209" s="286"/>
      <c r="AD209" s="286"/>
      <c r="AE209" s="286"/>
      <c r="AF209" s="286"/>
      <c r="AG209" s="286"/>
      <c r="AH209" s="286"/>
      <c r="AI209" s="286"/>
      <c r="AJ209" s="286"/>
      <c r="AK209" s="286"/>
      <c r="AL209" s="286"/>
      <c r="AM209" s="286"/>
      <c r="AN209" s="286"/>
      <c r="AO209" s="286"/>
      <c r="AP209" s="286"/>
      <c r="AQ209" s="286"/>
      <c r="AR209" s="204"/>
    </row>
    <row r="210" spans="5:44" ht="16.5" customHeight="1">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row>
    <row r="211" spans="5:46" ht="16.5" customHeight="1">
      <c r="E211" s="148"/>
      <c r="F211" s="150" t="str">
        <f>IF(BK223=0,"５　貸付金の金利別内訳","５．貸付金の金利別内訳")</f>
        <v>５．貸付金の金利別内訳</v>
      </c>
      <c r="G211" s="148"/>
      <c r="H211" s="148"/>
      <c r="I211" s="148"/>
      <c r="J211" s="148"/>
      <c r="K211" s="148"/>
      <c r="L211" s="148"/>
      <c r="M211" s="148"/>
      <c r="N211" s="148"/>
      <c r="O211" s="148"/>
      <c r="P211" s="148"/>
      <c r="Q211" s="148"/>
      <c r="R211" s="148"/>
      <c r="S211" s="148"/>
      <c r="T211" s="148"/>
      <c r="U211" s="148"/>
      <c r="V211" s="148"/>
      <c r="W211" s="148"/>
      <c r="X211" s="148"/>
      <c r="Y211" s="142"/>
      <c r="Z211" s="148"/>
      <c r="AA211" s="148"/>
      <c r="AB211" s="148"/>
      <c r="AC211" s="148"/>
      <c r="AD211" s="148"/>
      <c r="AE211" s="148"/>
      <c r="AF211" s="148"/>
      <c r="AG211" s="148"/>
      <c r="AH211" s="148"/>
      <c r="AI211" s="148"/>
      <c r="AJ211" s="148"/>
      <c r="AK211" s="148"/>
      <c r="AL211" s="148"/>
      <c r="AM211" s="148"/>
      <c r="AN211" s="148"/>
      <c r="AO211" s="148"/>
      <c r="AP211" s="148"/>
      <c r="AQ211" s="148"/>
      <c r="AR211" s="148"/>
      <c r="AT211" s="163" t="str">
        <f>IF(BK223=0,"（表5）エラーなし","！（表5）エラー情報あり")</f>
        <v>！（表5）エラー情報あり</v>
      </c>
    </row>
    <row r="212" spans="5:44" ht="7.5" customHeight="1">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row>
    <row r="213" spans="5:44" ht="16.5" customHeight="1" thickBot="1">
      <c r="E213" s="204"/>
      <c r="F213" s="415" t="s">
        <v>293</v>
      </c>
      <c r="G213" s="593"/>
      <c r="H213" s="593"/>
      <c r="I213" s="593"/>
      <c r="J213" s="593"/>
      <c r="K213" s="593"/>
      <c r="L213" s="593"/>
      <c r="M213" s="593"/>
      <c r="N213" s="593"/>
      <c r="O213" s="593"/>
      <c r="P213" s="593"/>
      <c r="Q213" s="594"/>
      <c r="R213" s="287" t="s">
        <v>97</v>
      </c>
      <c r="S213" s="288"/>
      <c r="T213" s="288"/>
      <c r="U213" s="288"/>
      <c r="V213" s="288"/>
      <c r="W213" s="288"/>
      <c r="X213" s="288"/>
      <c r="Y213" s="288"/>
      <c r="Z213" s="289"/>
      <c r="AA213" s="289"/>
      <c r="AB213" s="289"/>
      <c r="AC213" s="289"/>
      <c r="AD213" s="684"/>
      <c r="AE213" s="294" t="s">
        <v>78</v>
      </c>
      <c r="AF213" s="295"/>
      <c r="AG213" s="295"/>
      <c r="AH213" s="295"/>
      <c r="AI213" s="295"/>
      <c r="AJ213" s="295"/>
      <c r="AK213" s="295"/>
      <c r="AL213" s="295"/>
      <c r="AM213" s="295"/>
      <c r="AN213" s="295"/>
      <c r="AO213" s="295"/>
      <c r="AP213" s="295"/>
      <c r="AQ213" s="296"/>
      <c r="AR213" s="204"/>
    </row>
    <row r="214" spans="5:63" ht="16.5" customHeight="1" thickBot="1" thickTop="1">
      <c r="E214" s="204"/>
      <c r="F214" s="595"/>
      <c r="G214" s="596"/>
      <c r="H214" s="596"/>
      <c r="I214" s="596"/>
      <c r="J214" s="596"/>
      <c r="K214" s="596"/>
      <c r="L214" s="596"/>
      <c r="M214" s="596"/>
      <c r="N214" s="596"/>
      <c r="O214" s="596"/>
      <c r="P214" s="596"/>
      <c r="Q214" s="597"/>
      <c r="R214" s="301"/>
      <c r="S214" s="301"/>
      <c r="T214" s="301"/>
      <c r="U214" s="301"/>
      <c r="V214" s="301"/>
      <c r="W214" s="583"/>
      <c r="X214" s="583"/>
      <c r="Y214" s="584"/>
      <c r="Z214" s="283" t="s">
        <v>79</v>
      </c>
      <c r="AA214" s="634"/>
      <c r="AB214" s="634"/>
      <c r="AC214" s="634"/>
      <c r="AD214" s="634"/>
      <c r="AE214" s="300"/>
      <c r="AF214" s="301"/>
      <c r="AG214" s="301"/>
      <c r="AH214" s="301"/>
      <c r="AI214" s="301"/>
      <c r="AJ214" s="301"/>
      <c r="AK214" s="301"/>
      <c r="AL214" s="301"/>
      <c r="AM214" s="291" t="s">
        <v>79</v>
      </c>
      <c r="AN214" s="292"/>
      <c r="AO214" s="292"/>
      <c r="AP214" s="292"/>
      <c r="AQ214" s="293"/>
      <c r="AR214" s="204"/>
      <c r="AZ214" s="277" t="s">
        <v>354</v>
      </c>
      <c r="BA214" s="277"/>
      <c r="BB214" s="277" t="s">
        <v>355</v>
      </c>
      <c r="BC214" s="277"/>
      <c r="BD214" s="277" t="s">
        <v>408</v>
      </c>
      <c r="BE214" s="277"/>
      <c r="BF214" s="277" t="s">
        <v>409</v>
      </c>
      <c r="BG214" s="277"/>
      <c r="BH214" s="277" t="s">
        <v>356</v>
      </c>
      <c r="BI214" s="277"/>
      <c r="BJ214" s="156"/>
      <c r="BK214" s="222" t="s">
        <v>485</v>
      </c>
    </row>
    <row r="215" spans="5:66" ht="16.5" customHeight="1" thickBot="1" thickTop="1">
      <c r="E215" s="204"/>
      <c r="F215" s="41"/>
      <c r="G215" s="295"/>
      <c r="H215" s="295"/>
      <c r="I215" s="295"/>
      <c r="J215" s="295"/>
      <c r="K215" s="295"/>
      <c r="L215" s="295"/>
      <c r="M215" s="295"/>
      <c r="N215" s="295"/>
      <c r="O215" s="295"/>
      <c r="P215" s="295"/>
      <c r="Q215" s="42"/>
      <c r="R215" s="586" t="s">
        <v>71</v>
      </c>
      <c r="S215" s="586"/>
      <c r="T215" s="586"/>
      <c r="U215" s="586"/>
      <c r="V215" s="586"/>
      <c r="W215" s="587"/>
      <c r="X215" s="587"/>
      <c r="Y215" s="588"/>
      <c r="Z215" s="589" t="s">
        <v>72</v>
      </c>
      <c r="AA215" s="590"/>
      <c r="AB215" s="590"/>
      <c r="AC215" s="590"/>
      <c r="AD215" s="590"/>
      <c r="AE215" s="608" t="str">
        <f>$X$393</f>
        <v>千円</v>
      </c>
      <c r="AF215" s="609"/>
      <c r="AG215" s="609"/>
      <c r="AH215" s="609"/>
      <c r="AI215" s="609"/>
      <c r="AJ215" s="609"/>
      <c r="AK215" s="609"/>
      <c r="AL215" s="609"/>
      <c r="AM215" s="589" t="s">
        <v>80</v>
      </c>
      <c r="AN215" s="586"/>
      <c r="AO215" s="586"/>
      <c r="AP215" s="586"/>
      <c r="AQ215" s="683"/>
      <c r="AS215" s="149" t="str">
        <f aca="true" t="shared" si="48" ref="AS215:AS222">BK215</f>
        <v>　　（↓エラー情報↓）</v>
      </c>
      <c r="AV215" s="155" t="s">
        <v>437</v>
      </c>
      <c r="AW215" s="155" t="s">
        <v>438</v>
      </c>
      <c r="AZ215" s="199" t="s">
        <v>410</v>
      </c>
      <c r="BA215" s="198" t="s">
        <v>353</v>
      </c>
      <c r="BB215" s="199" t="s">
        <v>410</v>
      </c>
      <c r="BC215" s="198" t="s">
        <v>353</v>
      </c>
      <c r="BD215" s="199" t="s">
        <v>410</v>
      </c>
      <c r="BE215" s="198" t="s">
        <v>353</v>
      </c>
      <c r="BF215" s="199" t="s">
        <v>410</v>
      </c>
      <c r="BG215" s="198" t="s">
        <v>353</v>
      </c>
      <c r="BH215" s="199" t="s">
        <v>410</v>
      </c>
      <c r="BI215" s="198" t="s">
        <v>353</v>
      </c>
      <c r="BJ215" s="159"/>
      <c r="BK215" s="221" t="str">
        <f>IF(BK214="表示","　　（↓エラー情報↓）","")</f>
        <v>　　（↓エラー情報↓）</v>
      </c>
      <c r="BL215" s="155" t="s">
        <v>427</v>
      </c>
      <c r="BM215" s="155" t="s">
        <v>296</v>
      </c>
      <c r="BN215" s="155" t="s">
        <v>426</v>
      </c>
    </row>
    <row r="216" spans="5:66" ht="16.5" customHeight="1">
      <c r="E216" s="204"/>
      <c r="F216" s="24"/>
      <c r="G216" s="585" t="s">
        <v>131</v>
      </c>
      <c r="H216" s="585"/>
      <c r="I216" s="585"/>
      <c r="J216" s="585"/>
      <c r="K216" s="585"/>
      <c r="L216" s="585"/>
      <c r="M216" s="585"/>
      <c r="N216" s="585"/>
      <c r="O216" s="585"/>
      <c r="P216" s="585"/>
      <c r="Q216" s="215"/>
      <c r="R216" s="364"/>
      <c r="S216" s="365"/>
      <c r="T216" s="365"/>
      <c r="U216" s="365"/>
      <c r="V216" s="365"/>
      <c r="W216" s="365"/>
      <c r="X216" s="365"/>
      <c r="Y216" s="366"/>
      <c r="Z216" s="297">
        <f aca="true" t="shared" si="49" ref="Z216:Z221">IF(OR(AV$222=0,AV216=0),0,ROUNDDOWN(R216/R$222,4)*100)</f>
        <v>0</v>
      </c>
      <c r="AA216" s="298"/>
      <c r="AB216" s="298"/>
      <c r="AC216" s="298"/>
      <c r="AD216" s="321"/>
      <c r="AE216" s="364"/>
      <c r="AF216" s="365"/>
      <c r="AG216" s="365"/>
      <c r="AH216" s="365"/>
      <c r="AI216" s="365"/>
      <c r="AJ216" s="365"/>
      <c r="AK216" s="365"/>
      <c r="AL216" s="366"/>
      <c r="AM216" s="297">
        <f aca="true" t="shared" si="50" ref="AM216:AM221">IF(OR(AW$222=0,AW216=0),0,ROUNDDOWN(AE216/AE$222,4)*100)</f>
        <v>0</v>
      </c>
      <c r="AN216" s="298"/>
      <c r="AO216" s="298"/>
      <c r="AP216" s="298"/>
      <c r="AQ216" s="299"/>
      <c r="AS216" s="149">
        <f t="shared" si="48"/>
      </c>
      <c r="AV216" s="231">
        <f aca="true" t="shared" si="51" ref="AV216:AV222">IF(R216="-",0,R216)</f>
        <v>0</v>
      </c>
      <c r="AW216" s="231">
        <f aca="true" t="shared" si="52" ref="AW216:AW222">IF(AE216="-",0,AE216)</f>
        <v>0</v>
      </c>
      <c r="AY216" s="151">
        <v>1</v>
      </c>
      <c r="AZ216" s="168" t="str">
        <f aca="true" t="shared" si="53" ref="AZ216:AZ221">CONCATENATE(IF(OR(R216="",R216="-"),"無","有"),IF(OR(AE216="",AE216="-"),"無","有"))</f>
        <v>無無</v>
      </c>
      <c r="BA216" s="169">
        <f aca="true" t="shared" si="54" ref="BA216:BA222">IF(ISNA(VLOOKUP(AZ216,AZ$75:BA$91,2,FALSE))=TRUE,"",VLOOKUP(AZ216,AZ$75:BA$91,2,FALSE))</f>
      </c>
      <c r="BB216" s="170" t="s">
        <v>276</v>
      </c>
      <c r="BC216" s="171"/>
      <c r="BD216" s="168" t="str">
        <f aca="true" t="shared" si="55" ref="BD216:BD222">IF(AZ216="有有",IF(AW216/AV216&gt;BL216,"高額","ok"),"-")</f>
        <v>-</v>
      </c>
      <c r="BE216" s="169">
        <f aca="true" t="shared" si="56" ref="BE216:BE222">IF(ISNA(VLOOKUP(BD216,BD$75:BE$91,2,FALSE))=TRUE,"",VLOOKUP(BD216,BD$75:BE$91,2,FALSE))</f>
      </c>
      <c r="BF216" s="170" t="s">
        <v>276</v>
      </c>
      <c r="BG216" s="176"/>
      <c r="BH216" s="170" t="s">
        <v>276</v>
      </c>
      <c r="BI216" s="171"/>
      <c r="BJ216" s="251">
        <f aca="true" t="shared" si="57" ref="BJ216:BJ222">IF(AND(BA216="",BC216="",BE216="",BG216="",BI216=""),"","←")</f>
      </c>
      <c r="BK216" s="174">
        <f>IF(BK$214="表示",CONCATENATE(BJ216,BA216,BC216,BE216,BG216,BI216),"")</f>
      </c>
      <c r="BL216" s="225">
        <f aca="true" t="shared" si="58" ref="BL216:BL222">IF(Z$98="百万円",BM216,BN216)</f>
        <v>1000000000</v>
      </c>
      <c r="BM216" s="225">
        <v>1000000</v>
      </c>
      <c r="BN216" s="225">
        <v>1000000000</v>
      </c>
    </row>
    <row r="217" spans="5:66" ht="16.5" customHeight="1">
      <c r="E217" s="204"/>
      <c r="F217" s="24"/>
      <c r="G217" s="573" t="s">
        <v>132</v>
      </c>
      <c r="H217" s="573"/>
      <c r="I217" s="573"/>
      <c r="J217" s="573"/>
      <c r="K217" s="573"/>
      <c r="L217" s="573"/>
      <c r="M217" s="573"/>
      <c r="N217" s="573"/>
      <c r="O217" s="573"/>
      <c r="P217" s="573"/>
      <c r="Q217" s="215"/>
      <c r="R217" s="340"/>
      <c r="S217" s="341"/>
      <c r="T217" s="341"/>
      <c r="U217" s="341"/>
      <c r="V217" s="341"/>
      <c r="W217" s="341"/>
      <c r="X217" s="341"/>
      <c r="Y217" s="342"/>
      <c r="Z217" s="297">
        <f t="shared" si="49"/>
        <v>0</v>
      </c>
      <c r="AA217" s="298"/>
      <c r="AB217" s="298"/>
      <c r="AC217" s="298"/>
      <c r="AD217" s="321"/>
      <c r="AE217" s="340"/>
      <c r="AF217" s="341"/>
      <c r="AG217" s="341"/>
      <c r="AH217" s="341"/>
      <c r="AI217" s="341"/>
      <c r="AJ217" s="341"/>
      <c r="AK217" s="341"/>
      <c r="AL217" s="342"/>
      <c r="AM217" s="297">
        <f t="shared" si="50"/>
        <v>0</v>
      </c>
      <c r="AN217" s="298"/>
      <c r="AO217" s="298"/>
      <c r="AP217" s="298"/>
      <c r="AQ217" s="299"/>
      <c r="AS217" s="149">
        <f t="shared" si="48"/>
      </c>
      <c r="AV217" s="232">
        <f t="shared" si="51"/>
        <v>0</v>
      </c>
      <c r="AW217" s="232">
        <f t="shared" si="52"/>
        <v>0</v>
      </c>
      <c r="AY217" s="151">
        <v>2</v>
      </c>
      <c r="AZ217" s="172" t="str">
        <f t="shared" si="53"/>
        <v>無無</v>
      </c>
      <c r="BA217" s="169">
        <f t="shared" si="54"/>
      </c>
      <c r="BB217" s="175" t="s">
        <v>276</v>
      </c>
      <c r="BC217" s="176"/>
      <c r="BD217" s="172" t="str">
        <f>IF(AZ217="有有",IF(AW217/AV217&gt;BL217,"高額","ok"),"-")</f>
        <v>-</v>
      </c>
      <c r="BE217" s="169">
        <f t="shared" si="56"/>
      </c>
      <c r="BF217" s="175" t="s">
        <v>276</v>
      </c>
      <c r="BG217" s="176"/>
      <c r="BH217" s="175" t="s">
        <v>276</v>
      </c>
      <c r="BI217" s="176"/>
      <c r="BJ217" s="251">
        <f t="shared" si="57"/>
      </c>
      <c r="BK217" s="189">
        <f aca="true" t="shared" si="59" ref="BK217:BK222">IF(BK$214="表示",CONCATENATE(BJ217,BA217,BC217,BE217,BG217,BI217),"")</f>
      </c>
      <c r="BL217" s="225">
        <f t="shared" si="58"/>
        <v>1000000000</v>
      </c>
      <c r="BM217" s="225">
        <v>1000000</v>
      </c>
      <c r="BN217" s="225">
        <v>1000000000</v>
      </c>
    </row>
    <row r="218" spans="5:66" ht="16.5" customHeight="1">
      <c r="E218" s="204"/>
      <c r="F218" s="25"/>
      <c r="G218" s="573" t="s">
        <v>133</v>
      </c>
      <c r="H218" s="573"/>
      <c r="I218" s="573"/>
      <c r="J218" s="573"/>
      <c r="K218" s="573"/>
      <c r="L218" s="573"/>
      <c r="M218" s="573"/>
      <c r="N218" s="573"/>
      <c r="O218" s="573"/>
      <c r="P218" s="573"/>
      <c r="Q218" s="203"/>
      <c r="R218" s="340"/>
      <c r="S218" s="341"/>
      <c r="T218" s="341"/>
      <c r="U218" s="341"/>
      <c r="V218" s="341"/>
      <c r="W218" s="341"/>
      <c r="X218" s="341"/>
      <c r="Y218" s="342"/>
      <c r="Z218" s="297">
        <f t="shared" si="49"/>
        <v>0</v>
      </c>
      <c r="AA218" s="298"/>
      <c r="AB218" s="298"/>
      <c r="AC218" s="298"/>
      <c r="AD218" s="321"/>
      <c r="AE218" s="340"/>
      <c r="AF218" s="341"/>
      <c r="AG218" s="341"/>
      <c r="AH218" s="341"/>
      <c r="AI218" s="341"/>
      <c r="AJ218" s="341"/>
      <c r="AK218" s="341"/>
      <c r="AL218" s="342"/>
      <c r="AM218" s="297">
        <f t="shared" si="50"/>
        <v>0</v>
      </c>
      <c r="AN218" s="298"/>
      <c r="AO218" s="298"/>
      <c r="AP218" s="298"/>
      <c r="AQ218" s="299"/>
      <c r="AS218" s="149">
        <f t="shared" si="48"/>
      </c>
      <c r="AV218" s="232">
        <f t="shared" si="51"/>
        <v>0</v>
      </c>
      <c r="AW218" s="232">
        <f t="shared" si="52"/>
        <v>0</v>
      </c>
      <c r="AY218" s="151">
        <v>3</v>
      </c>
      <c r="AZ218" s="172" t="str">
        <f t="shared" si="53"/>
        <v>無無</v>
      </c>
      <c r="BA218" s="169">
        <f t="shared" si="54"/>
      </c>
      <c r="BB218" s="175" t="s">
        <v>276</v>
      </c>
      <c r="BC218" s="176"/>
      <c r="BD218" s="172" t="str">
        <f t="shared" si="55"/>
        <v>-</v>
      </c>
      <c r="BE218" s="169">
        <f t="shared" si="56"/>
      </c>
      <c r="BF218" s="175" t="s">
        <v>276</v>
      </c>
      <c r="BG218" s="176"/>
      <c r="BH218" s="175" t="s">
        <v>276</v>
      </c>
      <c r="BI218" s="176"/>
      <c r="BJ218" s="251">
        <f t="shared" si="57"/>
      </c>
      <c r="BK218" s="189">
        <f t="shared" si="59"/>
      </c>
      <c r="BL218" s="225">
        <f t="shared" si="58"/>
        <v>1000000000</v>
      </c>
      <c r="BM218" s="225">
        <v>1000000</v>
      </c>
      <c r="BN218" s="225">
        <v>1000000000</v>
      </c>
    </row>
    <row r="219" spans="5:66" ht="16.5" customHeight="1">
      <c r="E219" s="204"/>
      <c r="F219" s="25"/>
      <c r="G219" s="573" t="s">
        <v>134</v>
      </c>
      <c r="H219" s="573"/>
      <c r="I219" s="573"/>
      <c r="J219" s="573"/>
      <c r="K219" s="573"/>
      <c r="L219" s="573"/>
      <c r="M219" s="573"/>
      <c r="N219" s="573"/>
      <c r="O219" s="573"/>
      <c r="P219" s="573"/>
      <c r="Q219" s="67"/>
      <c r="R219" s="340"/>
      <c r="S219" s="341"/>
      <c r="T219" s="341"/>
      <c r="U219" s="341"/>
      <c r="V219" s="341"/>
      <c r="W219" s="341"/>
      <c r="X219" s="341"/>
      <c r="Y219" s="342"/>
      <c r="Z219" s="297">
        <f t="shared" si="49"/>
        <v>0</v>
      </c>
      <c r="AA219" s="298"/>
      <c r="AB219" s="298"/>
      <c r="AC219" s="298"/>
      <c r="AD219" s="321"/>
      <c r="AE219" s="340"/>
      <c r="AF219" s="341"/>
      <c r="AG219" s="341"/>
      <c r="AH219" s="341"/>
      <c r="AI219" s="341"/>
      <c r="AJ219" s="341"/>
      <c r="AK219" s="341"/>
      <c r="AL219" s="342"/>
      <c r="AM219" s="297">
        <f t="shared" si="50"/>
        <v>0</v>
      </c>
      <c r="AN219" s="298"/>
      <c r="AO219" s="298"/>
      <c r="AP219" s="298"/>
      <c r="AQ219" s="299"/>
      <c r="AS219" s="149">
        <f t="shared" si="48"/>
      </c>
      <c r="AV219" s="232">
        <f t="shared" si="51"/>
        <v>0</v>
      </c>
      <c r="AW219" s="232">
        <f t="shared" si="52"/>
        <v>0</v>
      </c>
      <c r="AY219" s="183">
        <v>4</v>
      </c>
      <c r="AZ219" s="172" t="str">
        <f t="shared" si="53"/>
        <v>無無</v>
      </c>
      <c r="BA219" s="169">
        <f t="shared" si="54"/>
      </c>
      <c r="BB219" s="175" t="s">
        <v>276</v>
      </c>
      <c r="BC219" s="176"/>
      <c r="BD219" s="172" t="str">
        <f t="shared" si="55"/>
        <v>-</v>
      </c>
      <c r="BE219" s="169">
        <f t="shared" si="56"/>
      </c>
      <c r="BF219" s="175" t="s">
        <v>276</v>
      </c>
      <c r="BG219" s="176"/>
      <c r="BH219" s="175" t="s">
        <v>276</v>
      </c>
      <c r="BI219" s="176"/>
      <c r="BJ219" s="251">
        <f t="shared" si="57"/>
      </c>
      <c r="BK219" s="189">
        <f t="shared" si="59"/>
      </c>
      <c r="BL219" s="225">
        <f t="shared" si="58"/>
        <v>1000000000</v>
      </c>
      <c r="BM219" s="225">
        <v>1000000</v>
      </c>
      <c r="BN219" s="225">
        <v>1000000000</v>
      </c>
    </row>
    <row r="220" spans="5:66" ht="16.5" customHeight="1">
      <c r="E220" s="204"/>
      <c r="F220" s="25"/>
      <c r="G220" s="573" t="s">
        <v>135</v>
      </c>
      <c r="H220" s="573"/>
      <c r="I220" s="573"/>
      <c r="J220" s="573"/>
      <c r="K220" s="573"/>
      <c r="L220" s="573"/>
      <c r="M220" s="573"/>
      <c r="N220" s="573"/>
      <c r="O220" s="573"/>
      <c r="P220" s="573"/>
      <c r="Q220" s="203"/>
      <c r="R220" s="340"/>
      <c r="S220" s="341"/>
      <c r="T220" s="341"/>
      <c r="U220" s="341"/>
      <c r="V220" s="341"/>
      <c r="W220" s="341"/>
      <c r="X220" s="341"/>
      <c r="Y220" s="342"/>
      <c r="Z220" s="297">
        <f t="shared" si="49"/>
        <v>0</v>
      </c>
      <c r="AA220" s="298"/>
      <c r="AB220" s="298"/>
      <c r="AC220" s="298"/>
      <c r="AD220" s="321"/>
      <c r="AE220" s="340"/>
      <c r="AF220" s="341"/>
      <c r="AG220" s="341"/>
      <c r="AH220" s="341"/>
      <c r="AI220" s="341"/>
      <c r="AJ220" s="341"/>
      <c r="AK220" s="341"/>
      <c r="AL220" s="342"/>
      <c r="AM220" s="297">
        <f t="shared" si="50"/>
        <v>0</v>
      </c>
      <c r="AN220" s="298"/>
      <c r="AO220" s="298"/>
      <c r="AP220" s="298"/>
      <c r="AQ220" s="299"/>
      <c r="AS220" s="149">
        <f t="shared" si="48"/>
      </c>
      <c r="AV220" s="232">
        <f t="shared" si="51"/>
        <v>0</v>
      </c>
      <c r="AW220" s="232">
        <f t="shared" si="52"/>
        <v>0</v>
      </c>
      <c r="AY220" s="183">
        <v>5</v>
      </c>
      <c r="AZ220" s="172" t="str">
        <f t="shared" si="53"/>
        <v>無無</v>
      </c>
      <c r="BA220" s="169">
        <f t="shared" si="54"/>
      </c>
      <c r="BB220" s="175" t="s">
        <v>276</v>
      </c>
      <c r="BC220" s="176"/>
      <c r="BD220" s="172" t="str">
        <f t="shared" si="55"/>
        <v>-</v>
      </c>
      <c r="BE220" s="169">
        <f>IF(ISNA(VLOOKUP(BD220,BD$75:BE$91,2,FALSE))=TRUE,"",VLOOKUP(BD220,BD$75:BE$91,2,FALSE))</f>
      </c>
      <c r="BF220" s="175" t="s">
        <v>276</v>
      </c>
      <c r="BG220" s="176"/>
      <c r="BH220" s="175" t="s">
        <v>276</v>
      </c>
      <c r="BI220" s="176"/>
      <c r="BJ220" s="251">
        <f t="shared" si="57"/>
      </c>
      <c r="BK220" s="189">
        <f t="shared" si="59"/>
      </c>
      <c r="BL220" s="225">
        <f t="shared" si="58"/>
        <v>1000000000</v>
      </c>
      <c r="BM220" s="225">
        <v>1000000</v>
      </c>
      <c r="BN220" s="225">
        <v>1000000000</v>
      </c>
    </row>
    <row r="221" spans="5:66" ht="16.5" customHeight="1">
      <c r="E221" s="204"/>
      <c r="F221" s="27"/>
      <c r="G221" s="581" t="s">
        <v>136</v>
      </c>
      <c r="H221" s="581"/>
      <c r="I221" s="581"/>
      <c r="J221" s="581"/>
      <c r="K221" s="581"/>
      <c r="L221" s="581"/>
      <c r="M221" s="581"/>
      <c r="N221" s="581"/>
      <c r="O221" s="581"/>
      <c r="P221" s="581"/>
      <c r="Q221" s="21"/>
      <c r="R221" s="419"/>
      <c r="S221" s="420"/>
      <c r="T221" s="420"/>
      <c r="U221" s="420"/>
      <c r="V221" s="420"/>
      <c r="W221" s="420"/>
      <c r="X221" s="420"/>
      <c r="Y221" s="421"/>
      <c r="Z221" s="297">
        <f t="shared" si="49"/>
        <v>0</v>
      </c>
      <c r="AA221" s="298"/>
      <c r="AB221" s="298"/>
      <c r="AC221" s="298"/>
      <c r="AD221" s="321"/>
      <c r="AE221" s="412"/>
      <c r="AF221" s="413"/>
      <c r="AG221" s="413"/>
      <c r="AH221" s="413"/>
      <c r="AI221" s="413"/>
      <c r="AJ221" s="413"/>
      <c r="AK221" s="413"/>
      <c r="AL221" s="414"/>
      <c r="AM221" s="297">
        <f t="shared" si="50"/>
        <v>0</v>
      </c>
      <c r="AN221" s="298"/>
      <c r="AO221" s="298"/>
      <c r="AP221" s="298"/>
      <c r="AQ221" s="299"/>
      <c r="AS221" s="149">
        <f t="shared" si="48"/>
      </c>
      <c r="AV221" s="233">
        <f t="shared" si="51"/>
        <v>0</v>
      </c>
      <c r="AW221" s="233">
        <f t="shared" si="52"/>
        <v>0</v>
      </c>
      <c r="AY221" s="183">
        <v>6</v>
      </c>
      <c r="AZ221" s="172" t="str">
        <f t="shared" si="53"/>
        <v>無無</v>
      </c>
      <c r="BA221" s="169">
        <f t="shared" si="54"/>
      </c>
      <c r="BB221" s="175" t="s">
        <v>276</v>
      </c>
      <c r="BC221" s="176"/>
      <c r="BD221" s="172" t="str">
        <f t="shared" si="55"/>
        <v>-</v>
      </c>
      <c r="BE221" s="169">
        <f t="shared" si="56"/>
      </c>
      <c r="BF221" s="175" t="s">
        <v>276</v>
      </c>
      <c r="BG221" s="176"/>
      <c r="BH221" s="175" t="s">
        <v>276</v>
      </c>
      <c r="BI221" s="176"/>
      <c r="BJ221" s="251">
        <f t="shared" si="57"/>
      </c>
      <c r="BK221" s="189">
        <f t="shared" si="59"/>
      </c>
      <c r="BL221" s="225">
        <f t="shared" si="58"/>
        <v>1000000000</v>
      </c>
      <c r="BM221" s="225">
        <v>1000000</v>
      </c>
      <c r="BN221" s="225">
        <v>1000000000</v>
      </c>
    </row>
    <row r="222" spans="5:66" ht="16.5" customHeight="1" thickBot="1">
      <c r="E222" s="148"/>
      <c r="F222" s="28"/>
      <c r="G222" s="282" t="s">
        <v>137</v>
      </c>
      <c r="H222" s="282"/>
      <c r="I222" s="282"/>
      <c r="J222" s="282"/>
      <c r="K222" s="282"/>
      <c r="L222" s="282"/>
      <c r="M222" s="282"/>
      <c r="N222" s="282"/>
      <c r="O222" s="282"/>
      <c r="P222" s="282"/>
      <c r="Q222" s="29"/>
      <c r="R222" s="348">
        <f>SUM(R216:Y221)</f>
        <v>0</v>
      </c>
      <c r="S222" s="349"/>
      <c r="T222" s="349"/>
      <c r="U222" s="349"/>
      <c r="V222" s="349"/>
      <c r="W222" s="349"/>
      <c r="X222" s="349"/>
      <c r="Y222" s="350"/>
      <c r="Z222" s="312">
        <v>100</v>
      </c>
      <c r="AA222" s="312"/>
      <c r="AB222" s="312"/>
      <c r="AC222" s="312"/>
      <c r="AD222" s="312"/>
      <c r="AE222" s="348" t="str">
        <f>AE200</f>
        <v>-</v>
      </c>
      <c r="AF222" s="349"/>
      <c r="AG222" s="349"/>
      <c r="AH222" s="349"/>
      <c r="AI222" s="349"/>
      <c r="AJ222" s="349"/>
      <c r="AK222" s="349"/>
      <c r="AL222" s="350"/>
      <c r="AM222" s="312">
        <v>100</v>
      </c>
      <c r="AN222" s="312"/>
      <c r="AO222" s="312"/>
      <c r="AP222" s="312"/>
      <c r="AQ222" s="526"/>
      <c r="AS222" s="149" t="str">
        <f t="shared" si="48"/>
        <v>←残高が未記入。</v>
      </c>
      <c r="AV222" s="241">
        <f t="shared" si="51"/>
        <v>0</v>
      </c>
      <c r="AW222" s="241">
        <f t="shared" si="52"/>
        <v>0</v>
      </c>
      <c r="AY222" s="183">
        <v>7</v>
      </c>
      <c r="AZ222" s="190" t="str">
        <f>CONCATENATE(IF(OR(R222="",R222="-"),"無","有"),IF(OR(AE222="",AE222="-"),"無","有"))</f>
        <v>有無</v>
      </c>
      <c r="BA222" s="169" t="str">
        <f t="shared" si="54"/>
        <v>残高が未記入。</v>
      </c>
      <c r="BB222" s="179" t="str">
        <f>CONCATENATE(IF(AV222=SUM(AV216:AV221),"合","不"),IF(AND(SUM(AW216:AW221)&lt;=AW222,AW222&lt;=(SUM(AW216:AW221)+6)),"合","不"))</f>
        <v>合合</v>
      </c>
      <c r="BC222" s="178">
        <f>IF(ISNA(VLOOKUP(BB222,BB$75:BC$91,2,FALSE))=TRUE,"",VLOOKUP(BB222,BB$75:BC$91,2,FALSE))</f>
      </c>
      <c r="BD222" s="179" t="str">
        <f t="shared" si="55"/>
        <v>-</v>
      </c>
      <c r="BE222" s="169">
        <f t="shared" si="56"/>
      </c>
      <c r="BF222" s="180" t="s">
        <v>276</v>
      </c>
      <c r="BG222" s="176"/>
      <c r="BH222" s="179" t="str">
        <f>IF(BG223=0,IF(R222=Q$108,IF(AE222=Z$108,"正正計","正誤計"),IF(AE222=Z$108,"誤正計","誤誤計")),"-")</f>
        <v>-</v>
      </c>
      <c r="BI222" s="178">
        <f>IF(ISNA(VLOOKUP(BH222,BH$75:BI$91,2,FALSE))=TRUE,"",VLOOKUP(BH222,BH$75:BI$91,2,FALSE))</f>
      </c>
      <c r="BJ222" s="251" t="str">
        <f t="shared" si="57"/>
        <v>←</v>
      </c>
      <c r="BK222" s="220" t="str">
        <f t="shared" si="59"/>
        <v>←残高が未記入。</v>
      </c>
      <c r="BL222" s="225">
        <f t="shared" si="58"/>
        <v>1000000000</v>
      </c>
      <c r="BM222" s="225">
        <v>1000000</v>
      </c>
      <c r="BN222" s="225">
        <v>1000000000</v>
      </c>
    </row>
    <row r="223" spans="5:63" ht="16.5" customHeight="1" thickBot="1">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t="s">
        <v>211</v>
      </c>
      <c r="AZ223" s="164">
        <f>COUNTIF(AZ216:AZ222,"無無")</f>
        <v>6</v>
      </c>
      <c r="BA223" s="191">
        <f>IF(AZ223=AY222,"｢該当なし」","")</f>
      </c>
      <c r="BB223" s="153"/>
      <c r="BC223" s="153"/>
      <c r="BD223" s="153"/>
      <c r="BE223" s="153"/>
      <c r="BF223" s="181" t="s">
        <v>424</v>
      </c>
      <c r="BG223" s="164">
        <f>(4*AY222)-(COUNTIF(BA216:BA222,"")+COUNTIF(BC216:BC222,"")+COUNTIF(BE216:BE222,"")+COUNTIF(BG216:BG222,""))</f>
        <v>1</v>
      </c>
      <c r="BH223" s="153"/>
      <c r="BI223" s="153"/>
      <c r="BJ223" s="181" t="s">
        <v>425</v>
      </c>
      <c r="BK223" s="164">
        <f>AY222-COUNTIF(BJ216:BJ222,"")</f>
        <v>1</v>
      </c>
    </row>
    <row r="224" spans="5:44" ht="16.5" customHeight="1">
      <c r="E224" s="204"/>
      <c r="F224" s="204" t="s">
        <v>55</v>
      </c>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t="s">
        <v>211</v>
      </c>
    </row>
    <row r="225" spans="5:44" ht="16.5" customHeight="1">
      <c r="E225" s="204"/>
      <c r="F225" s="204"/>
      <c r="G225" s="582" t="s">
        <v>138</v>
      </c>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2"/>
      <c r="AL225" s="582"/>
      <c r="AM225" s="582"/>
      <c r="AN225" s="582"/>
      <c r="AO225" s="582"/>
      <c r="AP225" s="582"/>
      <c r="AQ225" s="204"/>
      <c r="AR225" s="204" t="s">
        <v>211</v>
      </c>
    </row>
    <row r="226" spans="5:44" ht="16.5" customHeight="1">
      <c r="E226" s="204"/>
      <c r="F226" s="204"/>
      <c r="G226" s="204"/>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39"/>
      <c r="AO226" s="204"/>
      <c r="AP226" s="204"/>
      <c r="AQ226" s="204"/>
      <c r="AR226" s="204" t="s">
        <v>211</v>
      </c>
    </row>
    <row r="227" spans="5:44" ht="16.5" customHeight="1">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t="s">
        <v>211</v>
      </c>
    </row>
    <row r="228" spans="5:46" ht="16.5" customHeight="1">
      <c r="E228" s="148"/>
      <c r="F228" s="150" t="str">
        <f>IF(BK252=0,"６　貸付金の種別残高（除外貸付・例外貸付）","６．貸付金の種別残高（除外貸付・例外貸付）")</f>
        <v>６　貸付金の種別残高（除外貸付・例外貸付）</v>
      </c>
      <c r="G228" s="148"/>
      <c r="H228" s="148"/>
      <c r="I228" s="148"/>
      <c r="J228" s="148"/>
      <c r="K228" s="148"/>
      <c r="L228" s="148"/>
      <c r="M228" s="148"/>
      <c r="N228" s="148"/>
      <c r="O228" s="148"/>
      <c r="P228" s="148"/>
      <c r="Q228" s="148"/>
      <c r="R228" s="148"/>
      <c r="S228" s="148"/>
      <c r="T228" s="148"/>
      <c r="U228" s="148"/>
      <c r="V228" s="148"/>
      <c r="W228" s="148"/>
      <c r="X228" s="148"/>
      <c r="Y228" s="142"/>
      <c r="Z228" s="148"/>
      <c r="AA228" s="148"/>
      <c r="AB228" s="148"/>
      <c r="AC228" s="148"/>
      <c r="AD228" s="148"/>
      <c r="AE228" s="148"/>
      <c r="AF228" s="148"/>
      <c r="AG228" s="148"/>
      <c r="AH228" s="148"/>
      <c r="AI228" s="148"/>
      <c r="AJ228" s="148"/>
      <c r="AK228" s="148"/>
      <c r="AL228" s="148"/>
      <c r="AM228" s="148"/>
      <c r="AN228" s="148"/>
      <c r="AO228" s="148"/>
      <c r="AP228" s="148"/>
      <c r="AQ228" s="148"/>
      <c r="AR228" s="148" t="s">
        <v>211</v>
      </c>
      <c r="AT228" s="163" t="str">
        <f>IF(BK252=0,"（表6）エラーなし","！（表6）エラー情報あり")</f>
        <v>（表6）エラーなし</v>
      </c>
    </row>
    <row r="229" spans="5:44" ht="7.5" customHeight="1">
      <c r="E229" s="148"/>
      <c r="F229" s="148"/>
      <c r="G229" s="148"/>
      <c r="H229" s="148"/>
      <c r="I229" s="148"/>
      <c r="J229" s="148"/>
      <c r="K229" s="148"/>
      <c r="L229" s="148"/>
      <c r="M229" s="148"/>
      <c r="N229" s="148"/>
      <c r="O229" s="148"/>
      <c r="P229" s="148"/>
      <c r="Q229" s="204"/>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row>
    <row r="230" spans="5:44" ht="16.5" customHeight="1" thickBot="1">
      <c r="E230" s="204"/>
      <c r="F230" s="415" t="s">
        <v>294</v>
      </c>
      <c r="G230" s="416"/>
      <c r="H230" s="416"/>
      <c r="I230" s="416"/>
      <c r="J230" s="416"/>
      <c r="K230" s="416"/>
      <c r="L230" s="416"/>
      <c r="M230" s="416"/>
      <c r="N230" s="416"/>
      <c r="O230" s="416"/>
      <c r="P230" s="416"/>
      <c r="Q230" s="294" t="s">
        <v>66</v>
      </c>
      <c r="R230" s="295"/>
      <c r="S230" s="295"/>
      <c r="T230" s="295"/>
      <c r="U230" s="295"/>
      <c r="V230" s="580"/>
      <c r="W230" s="580"/>
      <c r="X230" s="580"/>
      <c r="Y230" s="580"/>
      <c r="Z230" s="294" t="s">
        <v>67</v>
      </c>
      <c r="AA230" s="295"/>
      <c r="AB230" s="295"/>
      <c r="AC230" s="295"/>
      <c r="AD230" s="295"/>
      <c r="AE230" s="580"/>
      <c r="AF230" s="580"/>
      <c r="AG230" s="580"/>
      <c r="AH230" s="600"/>
      <c r="AI230" s="294" t="s">
        <v>68</v>
      </c>
      <c r="AJ230" s="295"/>
      <c r="AK230" s="295"/>
      <c r="AL230" s="295"/>
      <c r="AM230" s="296"/>
      <c r="AN230" s="218"/>
      <c r="AO230" s="204"/>
      <c r="AP230" s="204"/>
      <c r="AQ230" s="204"/>
      <c r="AR230" s="204"/>
    </row>
    <row r="231" spans="5:63" ht="16.5" customHeight="1" thickBot="1" thickTop="1">
      <c r="E231" s="204"/>
      <c r="F231" s="417"/>
      <c r="G231" s="418"/>
      <c r="H231" s="418"/>
      <c r="I231" s="418"/>
      <c r="J231" s="418"/>
      <c r="K231" s="418"/>
      <c r="L231" s="418"/>
      <c r="M231" s="418"/>
      <c r="N231" s="418"/>
      <c r="O231" s="418"/>
      <c r="P231" s="418"/>
      <c r="Q231" s="300"/>
      <c r="R231" s="301"/>
      <c r="S231" s="301"/>
      <c r="T231" s="301"/>
      <c r="U231" s="301"/>
      <c r="V231" s="283" t="s">
        <v>69</v>
      </c>
      <c r="W231" s="284"/>
      <c r="X231" s="284"/>
      <c r="Y231" s="284"/>
      <c r="Z231" s="300"/>
      <c r="AA231" s="301"/>
      <c r="AB231" s="301"/>
      <c r="AC231" s="301"/>
      <c r="AD231" s="301"/>
      <c r="AE231" s="283" t="s">
        <v>69</v>
      </c>
      <c r="AF231" s="284"/>
      <c r="AG231" s="284"/>
      <c r="AH231" s="425"/>
      <c r="AI231" s="300"/>
      <c r="AJ231" s="301"/>
      <c r="AK231" s="301"/>
      <c r="AL231" s="301"/>
      <c r="AM231" s="302"/>
      <c r="AN231" s="218"/>
      <c r="AO231" s="204"/>
      <c r="AP231" s="204"/>
      <c r="AQ231" s="204"/>
      <c r="AR231" s="204"/>
      <c r="AZ231" s="277" t="s">
        <v>354</v>
      </c>
      <c r="BA231" s="277"/>
      <c r="BB231" s="277" t="s">
        <v>355</v>
      </c>
      <c r="BC231" s="277"/>
      <c r="BD231" s="277" t="s">
        <v>408</v>
      </c>
      <c r="BE231" s="277"/>
      <c r="BF231" s="277" t="s">
        <v>409</v>
      </c>
      <c r="BG231" s="277"/>
      <c r="BH231" s="277" t="s">
        <v>356</v>
      </c>
      <c r="BI231" s="277"/>
      <c r="BJ231" s="156"/>
      <c r="BK231" s="222" t="s">
        <v>439</v>
      </c>
    </row>
    <row r="232" spans="5:66" ht="15" customHeight="1" thickBot="1" thickTop="1">
      <c r="E232" s="204"/>
      <c r="F232" s="332" t="s">
        <v>139</v>
      </c>
      <c r="G232" s="574"/>
      <c r="H232" s="575"/>
      <c r="I232" s="575"/>
      <c r="J232" s="575"/>
      <c r="K232" s="575"/>
      <c r="L232" s="575"/>
      <c r="M232" s="575"/>
      <c r="N232" s="575"/>
      <c r="O232" s="575"/>
      <c r="P232" s="575"/>
      <c r="Q232" s="576" t="s">
        <v>71</v>
      </c>
      <c r="R232" s="464"/>
      <c r="S232" s="464"/>
      <c r="T232" s="464"/>
      <c r="U232" s="577"/>
      <c r="V232" s="463" t="s">
        <v>72</v>
      </c>
      <c r="W232" s="464"/>
      <c r="X232" s="464"/>
      <c r="Y232" s="464"/>
      <c r="Z232" s="602" t="str">
        <f>$X$393</f>
        <v>千円</v>
      </c>
      <c r="AA232" s="603"/>
      <c r="AB232" s="603"/>
      <c r="AC232" s="603"/>
      <c r="AD232" s="604"/>
      <c r="AE232" s="464" t="s">
        <v>6</v>
      </c>
      <c r="AF232" s="464"/>
      <c r="AG232" s="464"/>
      <c r="AH232" s="464"/>
      <c r="AI232" s="561" t="s">
        <v>73</v>
      </c>
      <c r="AJ232" s="562"/>
      <c r="AK232" s="562"/>
      <c r="AL232" s="562"/>
      <c r="AM232" s="563"/>
      <c r="AO232" s="204"/>
      <c r="AP232" s="204"/>
      <c r="AQ232" s="204"/>
      <c r="AR232" s="204"/>
      <c r="AS232" s="149">
        <f aca="true" t="shared" si="60" ref="AS232:AS251">BK232</f>
      </c>
      <c r="AV232" s="155" t="s">
        <v>437</v>
      </c>
      <c r="AW232" s="155" t="s">
        <v>438</v>
      </c>
      <c r="AX232" s="155" t="s">
        <v>455</v>
      </c>
      <c r="AZ232" s="199" t="s">
        <v>410</v>
      </c>
      <c r="BA232" s="198" t="s">
        <v>353</v>
      </c>
      <c r="BB232" s="199" t="s">
        <v>410</v>
      </c>
      <c r="BC232" s="198" t="s">
        <v>353</v>
      </c>
      <c r="BD232" s="199" t="s">
        <v>410</v>
      </c>
      <c r="BE232" s="198" t="s">
        <v>353</v>
      </c>
      <c r="BF232" s="199" t="s">
        <v>410</v>
      </c>
      <c r="BG232" s="198" t="s">
        <v>353</v>
      </c>
      <c r="BH232" s="199" t="s">
        <v>410</v>
      </c>
      <c r="BI232" s="198" t="s">
        <v>353</v>
      </c>
      <c r="BJ232" s="159"/>
      <c r="BK232" s="221">
        <f>IF(BK231="表示","　　（↓エラー情報↓）","")</f>
      </c>
      <c r="BL232" s="155" t="s">
        <v>427</v>
      </c>
      <c r="BM232" s="155" t="s">
        <v>296</v>
      </c>
      <c r="BN232" s="155" t="s">
        <v>426</v>
      </c>
    </row>
    <row r="233" spans="5:66" ht="33" customHeight="1">
      <c r="E233" s="204"/>
      <c r="F233" s="334"/>
      <c r="G233" s="578" t="s">
        <v>140</v>
      </c>
      <c r="H233" s="579"/>
      <c r="I233" s="579"/>
      <c r="J233" s="579"/>
      <c r="K233" s="579"/>
      <c r="L233" s="579"/>
      <c r="M233" s="579"/>
      <c r="N233" s="579"/>
      <c r="O233" s="579"/>
      <c r="P233" s="579"/>
      <c r="Q233" s="364"/>
      <c r="R233" s="365"/>
      <c r="S233" s="365"/>
      <c r="T233" s="365"/>
      <c r="U233" s="366"/>
      <c r="V233" s="297">
        <f>IF(OR(AV$251=0,AV233=0),0,ROUNDDOWN(Q233/Q$251,4)*100)</f>
        <v>0</v>
      </c>
      <c r="W233" s="298"/>
      <c r="X233" s="298"/>
      <c r="Y233" s="321"/>
      <c r="Z233" s="364"/>
      <c r="AA233" s="365"/>
      <c r="AB233" s="365"/>
      <c r="AC233" s="365"/>
      <c r="AD233" s="366"/>
      <c r="AE233" s="297">
        <f>IF(OR(AW$251=0,AW233=0),0,ROUNDDOWN(Z233/Z$251,4)*100)</f>
        <v>0</v>
      </c>
      <c r="AF233" s="298"/>
      <c r="AG233" s="298"/>
      <c r="AH233" s="321"/>
      <c r="AI233" s="555"/>
      <c r="AJ233" s="556"/>
      <c r="AK233" s="556"/>
      <c r="AL233" s="556"/>
      <c r="AM233" s="557"/>
      <c r="AO233" s="204"/>
      <c r="AP233" s="204"/>
      <c r="AQ233" s="204"/>
      <c r="AR233" s="204"/>
      <c r="AS233" s="149">
        <f t="shared" si="60"/>
      </c>
      <c r="AV233" s="226">
        <f>IF(Q233="-",0,Q233)</f>
        <v>0</v>
      </c>
      <c r="AW233" s="226">
        <f>IF(Z233="-",0,Z233)</f>
        <v>0</v>
      </c>
      <c r="AX233" s="226">
        <f>IF(AI233="-",0,AI233)</f>
        <v>0</v>
      </c>
      <c r="AY233" s="167">
        <v>1</v>
      </c>
      <c r="AZ233" s="168" t="str">
        <f aca="true" t="shared" si="61" ref="AZ233:AZ240">CONCATENATE(IF(OR(Q233="",Q233="-"),"無","有"),IF(OR(Z233="",Z233="-"),"無","有"),IF(OR(AI233="",AI233="-"),"無","有"))</f>
        <v>無無無</v>
      </c>
      <c r="BA233" s="169">
        <f aca="true" t="shared" si="62" ref="BA233:BA251">IF(ISNA(VLOOKUP(AZ233,AZ$75:BA$91,2,FALSE))=TRUE,"",VLOOKUP(AZ233,AZ$75:BA$91,2,FALSE))</f>
      </c>
      <c r="BB233" s="170" t="s">
        <v>276</v>
      </c>
      <c r="BC233" s="171"/>
      <c r="BD233" s="168" t="str">
        <f aca="true" t="shared" si="63" ref="BD233:BD251">IF(OR(AZ233="有有有",AZ233="有有無",AZ233="有有"),IF(AW233/AV233&gt;BL233,"高額","ok"),"-")</f>
        <v>-</v>
      </c>
      <c r="BE233" s="169">
        <f aca="true" t="shared" si="64" ref="BE233:BE251">IF(ISNA(VLOOKUP(BD233,BD$75:BE$91,2,FALSE))=TRUE,"",VLOOKUP(BD233,BD$75:BE$91,2,FALSE))</f>
      </c>
      <c r="BF233" s="168" t="str">
        <f>IF(OR(AI233="-",AI233=""),"-",IF(AI233&gt;109.5,"違法",IF(AND(40.004&lt;AI233,AI233&lt;=109.5),"高っ！","ok")))</f>
        <v>-</v>
      </c>
      <c r="BG233" s="169">
        <f>IF(ISNA(VLOOKUP(BF233,BF$75:BG$91,2,FALSE))=TRUE,"",VLOOKUP(BF233,BF$75:BG$91,2,FALSE))</f>
      </c>
      <c r="BH233" s="170" t="s">
        <v>276</v>
      </c>
      <c r="BI233" s="173"/>
      <c r="BJ233" s="251">
        <f aca="true" t="shared" si="65" ref="BJ233:BJ251">IF(AND(BA233="",BC233="",BE233="",BG233="",BI233=""),"","←")</f>
      </c>
      <c r="BK233" s="174">
        <f>IF(BK$231="表示",CONCATENATE(BJ233,BA233,BC233,BE233,BG233,BI233),"")</f>
      </c>
      <c r="BL233" s="225">
        <f aca="true" t="shared" si="66" ref="BL233:BL251">IF(Z$98="百万円",BM233,BN233)</f>
        <v>1000000000</v>
      </c>
      <c r="BM233" s="225">
        <v>1000000</v>
      </c>
      <c r="BN233" s="225">
        <v>1000000000</v>
      </c>
    </row>
    <row r="234" spans="5:66" ht="33" customHeight="1">
      <c r="E234" s="204"/>
      <c r="F234" s="334"/>
      <c r="G234" s="434" t="s">
        <v>141</v>
      </c>
      <c r="H234" s="435"/>
      <c r="I234" s="435"/>
      <c r="J234" s="435"/>
      <c r="K234" s="435"/>
      <c r="L234" s="435"/>
      <c r="M234" s="435"/>
      <c r="N234" s="435"/>
      <c r="O234" s="435"/>
      <c r="P234" s="435"/>
      <c r="Q234" s="340"/>
      <c r="R234" s="341"/>
      <c r="S234" s="341"/>
      <c r="T234" s="341"/>
      <c r="U234" s="342"/>
      <c r="V234" s="297">
        <f aca="true" t="shared" si="67" ref="V234:V240">IF(OR(AV$251=0,AV234=0),0,ROUNDDOWN(Q234/Q$251,4)*100)</f>
        <v>0</v>
      </c>
      <c r="W234" s="298"/>
      <c r="X234" s="298"/>
      <c r="Y234" s="321"/>
      <c r="Z234" s="340"/>
      <c r="AA234" s="341"/>
      <c r="AB234" s="341"/>
      <c r="AC234" s="341"/>
      <c r="AD234" s="342"/>
      <c r="AE234" s="297">
        <f aca="true" t="shared" si="68" ref="AE234:AE240">IF(OR(AW$251=0,AW234=0),0,ROUNDDOWN(Z234/Z$251,4)*100)</f>
        <v>0</v>
      </c>
      <c r="AF234" s="298"/>
      <c r="AG234" s="298"/>
      <c r="AH234" s="321"/>
      <c r="AI234" s="538"/>
      <c r="AJ234" s="539"/>
      <c r="AK234" s="539"/>
      <c r="AL234" s="539"/>
      <c r="AM234" s="540"/>
      <c r="AO234" s="204"/>
      <c r="AP234" s="204"/>
      <c r="AQ234" s="204"/>
      <c r="AR234" s="204"/>
      <c r="AS234" s="149">
        <f t="shared" si="60"/>
      </c>
      <c r="AV234" s="227">
        <f>IF(Q234="-",0,Q234)</f>
        <v>0</v>
      </c>
      <c r="AW234" s="227">
        <f>IF(Z234="-",0,Z234)</f>
        <v>0</v>
      </c>
      <c r="AX234" s="227">
        <f>IF(AI234="-",0,AI234)</f>
        <v>0</v>
      </c>
      <c r="AY234" s="167">
        <v>2</v>
      </c>
      <c r="AZ234" s="172" t="str">
        <f t="shared" si="61"/>
        <v>無無無</v>
      </c>
      <c r="BA234" s="169">
        <f t="shared" si="62"/>
      </c>
      <c r="BB234" s="175" t="s">
        <v>276</v>
      </c>
      <c r="BC234" s="176"/>
      <c r="BD234" s="172" t="str">
        <f t="shared" si="63"/>
        <v>-</v>
      </c>
      <c r="BE234" s="169">
        <f t="shared" si="64"/>
      </c>
      <c r="BF234" s="172" t="str">
        <f aca="true" t="shared" si="69" ref="BF234:BF240">IF(OR(AI234="-",AI234=""),"-",IF(AI234&gt;109.5,"違法",IF(AND(40.004&lt;AI234,AI234&lt;=109.5),"高っ！","ok")))</f>
        <v>-</v>
      </c>
      <c r="BG234" s="169">
        <f aca="true" t="shared" si="70" ref="BG234:BG248">IF(ISNA(VLOOKUP(BF234,BF$75:BG$91,2,FALSE))=TRUE,"",VLOOKUP(BF234,BF$75:BG$91,2,FALSE))</f>
      </c>
      <c r="BH234" s="175" t="s">
        <v>276</v>
      </c>
      <c r="BI234" s="177"/>
      <c r="BJ234" s="251">
        <f t="shared" si="65"/>
      </c>
      <c r="BK234" s="189">
        <f aca="true" t="shared" si="71" ref="BK234:BK251">IF(BK$231="表示",CONCATENATE(BJ234,BA234,BC234,BE234,BG234,BI234),"")</f>
      </c>
      <c r="BL234" s="225">
        <f t="shared" si="66"/>
        <v>1000000000</v>
      </c>
      <c r="BM234" s="225">
        <v>1000000</v>
      </c>
      <c r="BN234" s="225">
        <v>1000000000</v>
      </c>
    </row>
    <row r="235" spans="5:66" ht="33" customHeight="1">
      <c r="E235" s="204"/>
      <c r="F235" s="334"/>
      <c r="G235" s="434" t="s">
        <v>142</v>
      </c>
      <c r="H235" s="435"/>
      <c r="I235" s="435"/>
      <c r="J235" s="435"/>
      <c r="K235" s="435"/>
      <c r="L235" s="435"/>
      <c r="M235" s="435"/>
      <c r="N235" s="435"/>
      <c r="O235" s="435"/>
      <c r="P235" s="435"/>
      <c r="Q235" s="340"/>
      <c r="R235" s="341"/>
      <c r="S235" s="341"/>
      <c r="T235" s="341"/>
      <c r="U235" s="342"/>
      <c r="V235" s="297">
        <f t="shared" si="67"/>
        <v>0</v>
      </c>
      <c r="W235" s="298"/>
      <c r="X235" s="298"/>
      <c r="Y235" s="321"/>
      <c r="Z235" s="340"/>
      <c r="AA235" s="341"/>
      <c r="AB235" s="341"/>
      <c r="AC235" s="341"/>
      <c r="AD235" s="342"/>
      <c r="AE235" s="297">
        <f t="shared" si="68"/>
        <v>0</v>
      </c>
      <c r="AF235" s="298"/>
      <c r="AG235" s="298"/>
      <c r="AH235" s="321"/>
      <c r="AI235" s="538"/>
      <c r="AJ235" s="539"/>
      <c r="AK235" s="539"/>
      <c r="AL235" s="539"/>
      <c r="AM235" s="540"/>
      <c r="AO235" s="204"/>
      <c r="AP235" s="204"/>
      <c r="AQ235" s="204"/>
      <c r="AR235" s="204"/>
      <c r="AS235" s="149">
        <f t="shared" si="60"/>
      </c>
      <c r="AV235" s="227">
        <f aca="true" t="shared" si="72" ref="AV235:AV251">IF(Q235="-",0,Q235)</f>
        <v>0</v>
      </c>
      <c r="AW235" s="227">
        <f aca="true" t="shared" si="73" ref="AW235:AW251">IF(Z235="-",0,Z235)</f>
        <v>0</v>
      </c>
      <c r="AX235" s="227">
        <f aca="true" t="shared" si="74" ref="AX235:AX249">IF(AI235="-",0,AI235)</f>
        <v>0</v>
      </c>
      <c r="AY235" s="167">
        <v>3</v>
      </c>
      <c r="AZ235" s="172" t="str">
        <f t="shared" si="61"/>
        <v>無無無</v>
      </c>
      <c r="BA235" s="169">
        <f t="shared" si="62"/>
      </c>
      <c r="BB235" s="175" t="s">
        <v>276</v>
      </c>
      <c r="BC235" s="176"/>
      <c r="BD235" s="172" t="str">
        <f t="shared" si="63"/>
        <v>-</v>
      </c>
      <c r="BE235" s="169">
        <f t="shared" si="64"/>
      </c>
      <c r="BF235" s="172" t="str">
        <f t="shared" si="69"/>
        <v>-</v>
      </c>
      <c r="BG235" s="169">
        <f t="shared" si="70"/>
      </c>
      <c r="BH235" s="175" t="s">
        <v>276</v>
      </c>
      <c r="BI235" s="177"/>
      <c r="BJ235" s="251">
        <f t="shared" si="65"/>
      </c>
      <c r="BK235" s="189">
        <f t="shared" si="71"/>
      </c>
      <c r="BL235" s="225">
        <f t="shared" si="66"/>
        <v>1000000000</v>
      </c>
      <c r="BM235" s="225">
        <v>1000000</v>
      </c>
      <c r="BN235" s="225">
        <v>1000000000</v>
      </c>
    </row>
    <row r="236" spans="5:66" ht="33" customHeight="1">
      <c r="E236" s="204"/>
      <c r="F236" s="334"/>
      <c r="G236" s="434" t="s">
        <v>143</v>
      </c>
      <c r="H236" s="435"/>
      <c r="I236" s="435"/>
      <c r="J236" s="435"/>
      <c r="K236" s="435"/>
      <c r="L236" s="435"/>
      <c r="M236" s="435"/>
      <c r="N236" s="435"/>
      <c r="O236" s="435"/>
      <c r="P236" s="435"/>
      <c r="Q236" s="340"/>
      <c r="R236" s="341"/>
      <c r="S236" s="341"/>
      <c r="T236" s="341"/>
      <c r="U236" s="342"/>
      <c r="V236" s="297">
        <f t="shared" si="67"/>
        <v>0</v>
      </c>
      <c r="W236" s="298"/>
      <c r="X236" s="298"/>
      <c r="Y236" s="321"/>
      <c r="Z236" s="340"/>
      <c r="AA236" s="341"/>
      <c r="AB236" s="341"/>
      <c r="AC236" s="341"/>
      <c r="AD236" s="342"/>
      <c r="AE236" s="297">
        <f t="shared" si="68"/>
        <v>0</v>
      </c>
      <c r="AF236" s="298"/>
      <c r="AG236" s="298"/>
      <c r="AH236" s="321"/>
      <c r="AI236" s="538"/>
      <c r="AJ236" s="539"/>
      <c r="AK236" s="539"/>
      <c r="AL236" s="539"/>
      <c r="AM236" s="540"/>
      <c r="AO236" s="204"/>
      <c r="AP236" s="204"/>
      <c r="AQ236" s="204"/>
      <c r="AR236" s="204"/>
      <c r="AS236" s="149">
        <f t="shared" si="60"/>
      </c>
      <c r="AV236" s="227">
        <f t="shared" si="72"/>
        <v>0</v>
      </c>
      <c r="AW236" s="227">
        <f t="shared" si="73"/>
        <v>0</v>
      </c>
      <c r="AX236" s="227">
        <f t="shared" si="74"/>
        <v>0</v>
      </c>
      <c r="AY236" s="167">
        <v>4</v>
      </c>
      <c r="AZ236" s="172" t="str">
        <f t="shared" si="61"/>
        <v>無無無</v>
      </c>
      <c r="BA236" s="169">
        <f t="shared" si="62"/>
      </c>
      <c r="BB236" s="175" t="s">
        <v>276</v>
      </c>
      <c r="BC236" s="176"/>
      <c r="BD236" s="172" t="str">
        <f t="shared" si="63"/>
        <v>-</v>
      </c>
      <c r="BE236" s="169">
        <f t="shared" si="64"/>
      </c>
      <c r="BF236" s="172" t="str">
        <f t="shared" si="69"/>
        <v>-</v>
      </c>
      <c r="BG236" s="169">
        <f t="shared" si="70"/>
      </c>
      <c r="BH236" s="175" t="s">
        <v>276</v>
      </c>
      <c r="BI236" s="177"/>
      <c r="BJ236" s="251">
        <f t="shared" si="65"/>
      </c>
      <c r="BK236" s="189">
        <f t="shared" si="71"/>
      </c>
      <c r="BL236" s="225">
        <f t="shared" si="66"/>
        <v>1000000000</v>
      </c>
      <c r="BM236" s="225">
        <v>1000000</v>
      </c>
      <c r="BN236" s="225">
        <v>1000000000</v>
      </c>
    </row>
    <row r="237" spans="5:66" ht="33" customHeight="1">
      <c r="E237" s="204"/>
      <c r="F237" s="334"/>
      <c r="G237" s="434" t="s">
        <v>144</v>
      </c>
      <c r="H237" s="435"/>
      <c r="I237" s="435"/>
      <c r="J237" s="435"/>
      <c r="K237" s="435"/>
      <c r="L237" s="435"/>
      <c r="M237" s="435"/>
      <c r="N237" s="435"/>
      <c r="O237" s="435"/>
      <c r="P237" s="435"/>
      <c r="Q237" s="340"/>
      <c r="R237" s="341"/>
      <c r="S237" s="341"/>
      <c r="T237" s="341"/>
      <c r="U237" s="342"/>
      <c r="V237" s="297">
        <f t="shared" si="67"/>
        <v>0</v>
      </c>
      <c r="W237" s="298"/>
      <c r="X237" s="298"/>
      <c r="Y237" s="321"/>
      <c r="Z237" s="340"/>
      <c r="AA237" s="341"/>
      <c r="AB237" s="341"/>
      <c r="AC237" s="341"/>
      <c r="AD237" s="342"/>
      <c r="AE237" s="297">
        <f t="shared" si="68"/>
        <v>0</v>
      </c>
      <c r="AF237" s="298"/>
      <c r="AG237" s="298"/>
      <c r="AH237" s="321"/>
      <c r="AI237" s="538"/>
      <c r="AJ237" s="539"/>
      <c r="AK237" s="539"/>
      <c r="AL237" s="539"/>
      <c r="AM237" s="540"/>
      <c r="AO237" s="204"/>
      <c r="AP237" s="204"/>
      <c r="AQ237" s="204"/>
      <c r="AR237" s="204"/>
      <c r="AS237" s="149">
        <f t="shared" si="60"/>
      </c>
      <c r="AV237" s="227">
        <f t="shared" si="72"/>
        <v>0</v>
      </c>
      <c r="AW237" s="227">
        <f t="shared" si="73"/>
        <v>0</v>
      </c>
      <c r="AX237" s="227">
        <f t="shared" si="74"/>
        <v>0</v>
      </c>
      <c r="AY237" s="167">
        <v>5</v>
      </c>
      <c r="AZ237" s="172" t="str">
        <f t="shared" si="61"/>
        <v>無無無</v>
      </c>
      <c r="BA237" s="169">
        <f t="shared" si="62"/>
      </c>
      <c r="BB237" s="175" t="s">
        <v>276</v>
      </c>
      <c r="BC237" s="176"/>
      <c r="BD237" s="172" t="str">
        <f t="shared" si="63"/>
        <v>-</v>
      </c>
      <c r="BE237" s="169">
        <f t="shared" si="64"/>
      </c>
      <c r="BF237" s="172" t="str">
        <f t="shared" si="69"/>
        <v>-</v>
      </c>
      <c r="BG237" s="169">
        <f t="shared" si="70"/>
      </c>
      <c r="BH237" s="175" t="s">
        <v>276</v>
      </c>
      <c r="BI237" s="177"/>
      <c r="BJ237" s="251">
        <f t="shared" si="65"/>
      </c>
      <c r="BK237" s="189">
        <f t="shared" si="71"/>
      </c>
      <c r="BL237" s="225">
        <f t="shared" si="66"/>
        <v>1000000000</v>
      </c>
      <c r="BM237" s="225">
        <v>1000000</v>
      </c>
      <c r="BN237" s="225">
        <v>1000000000</v>
      </c>
    </row>
    <row r="238" spans="5:66" ht="33" customHeight="1">
      <c r="E238" s="204"/>
      <c r="F238" s="334"/>
      <c r="G238" s="434" t="s">
        <v>145</v>
      </c>
      <c r="H238" s="435"/>
      <c r="I238" s="435"/>
      <c r="J238" s="435"/>
      <c r="K238" s="435"/>
      <c r="L238" s="435"/>
      <c r="M238" s="435"/>
      <c r="N238" s="435"/>
      <c r="O238" s="435"/>
      <c r="P238" s="435"/>
      <c r="Q238" s="340"/>
      <c r="R238" s="341"/>
      <c r="S238" s="341"/>
      <c r="T238" s="341"/>
      <c r="U238" s="342"/>
      <c r="V238" s="297">
        <f t="shared" si="67"/>
        <v>0</v>
      </c>
      <c r="W238" s="298"/>
      <c r="X238" s="298"/>
      <c r="Y238" s="321"/>
      <c r="Z238" s="340"/>
      <c r="AA238" s="341"/>
      <c r="AB238" s="341"/>
      <c r="AC238" s="341"/>
      <c r="AD238" s="342"/>
      <c r="AE238" s="297">
        <f t="shared" si="68"/>
        <v>0</v>
      </c>
      <c r="AF238" s="298"/>
      <c r="AG238" s="298"/>
      <c r="AH238" s="321"/>
      <c r="AI238" s="538"/>
      <c r="AJ238" s="539"/>
      <c r="AK238" s="539"/>
      <c r="AL238" s="539"/>
      <c r="AM238" s="540"/>
      <c r="AO238" s="204"/>
      <c r="AP238" s="204"/>
      <c r="AQ238" s="204"/>
      <c r="AR238" s="204"/>
      <c r="AS238" s="149">
        <f t="shared" si="60"/>
      </c>
      <c r="AV238" s="227">
        <f t="shared" si="72"/>
        <v>0</v>
      </c>
      <c r="AW238" s="227">
        <f t="shared" si="73"/>
        <v>0</v>
      </c>
      <c r="AX238" s="227">
        <f t="shared" si="74"/>
        <v>0</v>
      </c>
      <c r="AY238" s="167">
        <v>6</v>
      </c>
      <c r="AZ238" s="172" t="str">
        <f t="shared" si="61"/>
        <v>無無無</v>
      </c>
      <c r="BA238" s="169">
        <f t="shared" si="62"/>
      </c>
      <c r="BB238" s="175" t="s">
        <v>276</v>
      </c>
      <c r="BC238" s="176"/>
      <c r="BD238" s="172" t="str">
        <f t="shared" si="63"/>
        <v>-</v>
      </c>
      <c r="BE238" s="169">
        <f t="shared" si="64"/>
      </c>
      <c r="BF238" s="172" t="str">
        <f t="shared" si="69"/>
        <v>-</v>
      </c>
      <c r="BG238" s="169">
        <f t="shared" si="70"/>
      </c>
      <c r="BH238" s="175" t="s">
        <v>276</v>
      </c>
      <c r="BI238" s="177"/>
      <c r="BJ238" s="251">
        <f t="shared" si="65"/>
      </c>
      <c r="BK238" s="189">
        <f t="shared" si="71"/>
      </c>
      <c r="BL238" s="225">
        <f t="shared" si="66"/>
        <v>1000000000</v>
      </c>
      <c r="BM238" s="225">
        <v>1000000</v>
      </c>
      <c r="BN238" s="225">
        <v>1000000000</v>
      </c>
    </row>
    <row r="239" spans="5:66" ht="33" customHeight="1">
      <c r="E239" s="204"/>
      <c r="F239" s="334"/>
      <c r="G239" s="434" t="s">
        <v>146</v>
      </c>
      <c r="H239" s="435"/>
      <c r="I239" s="435"/>
      <c r="J239" s="435"/>
      <c r="K239" s="435"/>
      <c r="L239" s="435"/>
      <c r="M239" s="435"/>
      <c r="N239" s="435"/>
      <c r="O239" s="435"/>
      <c r="P239" s="435"/>
      <c r="Q239" s="340"/>
      <c r="R239" s="341"/>
      <c r="S239" s="341"/>
      <c r="T239" s="341"/>
      <c r="U239" s="342"/>
      <c r="V239" s="297">
        <f t="shared" si="67"/>
        <v>0</v>
      </c>
      <c r="W239" s="298"/>
      <c r="X239" s="298"/>
      <c r="Y239" s="321"/>
      <c r="Z239" s="340"/>
      <c r="AA239" s="341"/>
      <c r="AB239" s="341"/>
      <c r="AC239" s="341"/>
      <c r="AD239" s="342"/>
      <c r="AE239" s="297">
        <f t="shared" si="68"/>
        <v>0</v>
      </c>
      <c r="AF239" s="298"/>
      <c r="AG239" s="298"/>
      <c r="AH239" s="321"/>
      <c r="AI239" s="538"/>
      <c r="AJ239" s="539"/>
      <c r="AK239" s="539"/>
      <c r="AL239" s="539"/>
      <c r="AM239" s="540"/>
      <c r="AO239" s="204"/>
      <c r="AP239" s="204"/>
      <c r="AQ239" s="204"/>
      <c r="AR239" s="204"/>
      <c r="AS239" s="149">
        <f t="shared" si="60"/>
      </c>
      <c r="AV239" s="227">
        <f t="shared" si="72"/>
        <v>0</v>
      </c>
      <c r="AW239" s="227">
        <f t="shared" si="73"/>
        <v>0</v>
      </c>
      <c r="AX239" s="227">
        <f t="shared" si="74"/>
        <v>0</v>
      </c>
      <c r="AY239" s="167">
        <v>7</v>
      </c>
      <c r="AZ239" s="172" t="str">
        <f t="shared" si="61"/>
        <v>無無無</v>
      </c>
      <c r="BA239" s="169">
        <f t="shared" si="62"/>
      </c>
      <c r="BB239" s="175" t="s">
        <v>276</v>
      </c>
      <c r="BC239" s="176"/>
      <c r="BD239" s="172" t="str">
        <f t="shared" si="63"/>
        <v>-</v>
      </c>
      <c r="BE239" s="169">
        <f t="shared" si="64"/>
      </c>
      <c r="BF239" s="172" t="str">
        <f t="shared" si="69"/>
        <v>-</v>
      </c>
      <c r="BG239" s="169">
        <f t="shared" si="70"/>
      </c>
      <c r="BH239" s="175" t="s">
        <v>276</v>
      </c>
      <c r="BI239" s="177"/>
      <c r="BJ239" s="251">
        <f t="shared" si="65"/>
      </c>
      <c r="BK239" s="189">
        <f t="shared" si="71"/>
      </c>
      <c r="BL239" s="225">
        <f t="shared" si="66"/>
        <v>1000000000</v>
      </c>
      <c r="BM239" s="225">
        <v>1000000</v>
      </c>
      <c r="BN239" s="225">
        <v>1000000000</v>
      </c>
    </row>
    <row r="240" spans="5:66" ht="33" customHeight="1" thickBot="1">
      <c r="E240" s="204"/>
      <c r="F240" s="334"/>
      <c r="G240" s="434" t="s">
        <v>147</v>
      </c>
      <c r="H240" s="435"/>
      <c r="I240" s="435"/>
      <c r="J240" s="435"/>
      <c r="K240" s="435"/>
      <c r="L240" s="435"/>
      <c r="M240" s="435"/>
      <c r="N240" s="435"/>
      <c r="O240" s="435"/>
      <c r="P240" s="435"/>
      <c r="Q240" s="419"/>
      <c r="R240" s="420"/>
      <c r="S240" s="420"/>
      <c r="T240" s="420"/>
      <c r="U240" s="421"/>
      <c r="V240" s="297">
        <f t="shared" si="67"/>
        <v>0</v>
      </c>
      <c r="W240" s="298"/>
      <c r="X240" s="298"/>
      <c r="Y240" s="321"/>
      <c r="Z240" s="340"/>
      <c r="AA240" s="341"/>
      <c r="AB240" s="341"/>
      <c r="AC240" s="341"/>
      <c r="AD240" s="342"/>
      <c r="AE240" s="297">
        <f t="shared" si="68"/>
        <v>0</v>
      </c>
      <c r="AF240" s="298"/>
      <c r="AG240" s="298"/>
      <c r="AH240" s="321"/>
      <c r="AI240" s="558"/>
      <c r="AJ240" s="559"/>
      <c r="AK240" s="559"/>
      <c r="AL240" s="559"/>
      <c r="AM240" s="560"/>
      <c r="AO240" s="204"/>
      <c r="AP240" s="204"/>
      <c r="AQ240" s="204"/>
      <c r="AR240" s="204"/>
      <c r="AS240" s="149">
        <f t="shared" si="60"/>
      </c>
      <c r="AV240" s="227">
        <f t="shared" si="72"/>
        <v>0</v>
      </c>
      <c r="AW240" s="227">
        <f t="shared" si="73"/>
        <v>0</v>
      </c>
      <c r="AX240" s="247">
        <f t="shared" si="74"/>
        <v>0</v>
      </c>
      <c r="AY240" s="167">
        <v>8</v>
      </c>
      <c r="AZ240" s="172" t="str">
        <f t="shared" si="61"/>
        <v>無無無</v>
      </c>
      <c r="BA240" s="169">
        <f t="shared" si="62"/>
      </c>
      <c r="BB240" s="175" t="s">
        <v>276</v>
      </c>
      <c r="BC240" s="176"/>
      <c r="BD240" s="172" t="str">
        <f t="shared" si="63"/>
        <v>-</v>
      </c>
      <c r="BE240" s="169">
        <f t="shared" si="64"/>
      </c>
      <c r="BF240" s="172" t="str">
        <f t="shared" si="69"/>
        <v>-</v>
      </c>
      <c r="BG240" s="169">
        <f t="shared" si="70"/>
      </c>
      <c r="BH240" s="175" t="s">
        <v>276</v>
      </c>
      <c r="BI240" s="177"/>
      <c r="BJ240" s="251">
        <f t="shared" si="65"/>
      </c>
      <c r="BK240" s="189">
        <f t="shared" si="71"/>
      </c>
      <c r="BL240" s="225">
        <f t="shared" si="66"/>
        <v>1000000000</v>
      </c>
      <c r="BM240" s="225">
        <v>1000000</v>
      </c>
      <c r="BN240" s="225">
        <v>1000000000</v>
      </c>
    </row>
    <row r="241" spans="5:66" ht="33" customHeight="1" thickBot="1">
      <c r="E241" s="204"/>
      <c r="F241" s="336"/>
      <c r="G241" s="283" t="s">
        <v>74</v>
      </c>
      <c r="H241" s="284"/>
      <c r="I241" s="284"/>
      <c r="J241" s="284"/>
      <c r="K241" s="284"/>
      <c r="L241" s="284"/>
      <c r="M241" s="284"/>
      <c r="N241" s="284"/>
      <c r="O241" s="284"/>
      <c r="P241" s="284"/>
      <c r="Q241" s="412"/>
      <c r="R241" s="413"/>
      <c r="S241" s="413"/>
      <c r="T241" s="413"/>
      <c r="U241" s="414"/>
      <c r="V241" s="527">
        <f>IF(OR(AV$251=0,AV241=0),0,ROUNDDOWN(Q241/Q$251,4)*100)</f>
        <v>0</v>
      </c>
      <c r="W241" s="528"/>
      <c r="X241" s="528"/>
      <c r="Y241" s="535"/>
      <c r="Z241" s="412"/>
      <c r="AA241" s="413"/>
      <c r="AB241" s="413"/>
      <c r="AC241" s="413"/>
      <c r="AD241" s="414"/>
      <c r="AE241" s="527">
        <f>IF(OR(AW$251=0,AW241=0),0,ROUNDDOWN(Z241/Z$251,4)*100)</f>
        <v>0</v>
      </c>
      <c r="AF241" s="528"/>
      <c r="AG241" s="528"/>
      <c r="AH241" s="529"/>
      <c r="AI241" s="541">
        <f>ROUNDDOWN(IF(AW241=0,0,(AW233*AX233+AW234*AX234+AW235*AX235+AW236*AX236+AW237*AX237+AW238*AX238+AW239*AX239+AW240*AX240)/AW241),2)</f>
        <v>0</v>
      </c>
      <c r="AJ241" s="542"/>
      <c r="AK241" s="542"/>
      <c r="AL241" s="542"/>
      <c r="AM241" s="543"/>
      <c r="AO241" s="204"/>
      <c r="AP241" s="204"/>
      <c r="AQ241" s="204"/>
      <c r="AR241" s="204"/>
      <c r="AS241" s="149">
        <f t="shared" si="60"/>
      </c>
      <c r="AV241" s="227">
        <f t="shared" si="72"/>
        <v>0</v>
      </c>
      <c r="AW241" s="227">
        <f t="shared" si="73"/>
        <v>0</v>
      </c>
      <c r="AX241" s="248"/>
      <c r="AY241" s="167">
        <v>9</v>
      </c>
      <c r="AZ241" s="172" t="str">
        <f>CONCATENATE(IF(OR(Q241="",Q241="-"),"無","有"),IF(OR(Z241="",Z241="-"),"無","有"))</f>
        <v>無無</v>
      </c>
      <c r="BA241" s="169">
        <f t="shared" si="62"/>
      </c>
      <c r="BB241" s="172" t="str">
        <f>CONCATENATE(IF(AV241=SUM(AV233:AV240),"合","不"),IF(AND(SUM(AW233:AW240)&lt;=AW241,AW241&lt;=(SUM(AW233:AW240)+8)),"合","不"))</f>
        <v>合合</v>
      </c>
      <c r="BC241" s="178">
        <f>IF(ISNA(VLOOKUP(BB241,BB$75:BC$91,2,FALSE))=TRUE,"",VLOOKUP(BB241,BB$75:BC$91,2,FALSE))</f>
      </c>
      <c r="BD241" s="172" t="str">
        <f t="shared" si="63"/>
        <v>-</v>
      </c>
      <c r="BE241" s="169">
        <f t="shared" si="64"/>
      </c>
      <c r="BF241" s="175" t="s">
        <v>276</v>
      </c>
      <c r="BG241" s="176"/>
      <c r="BH241" s="175" t="s">
        <v>276</v>
      </c>
      <c r="BI241" s="177"/>
      <c r="BJ241" s="251">
        <f t="shared" si="65"/>
      </c>
      <c r="BK241" s="189">
        <f t="shared" si="71"/>
      </c>
      <c r="BL241" s="225">
        <f t="shared" si="66"/>
        <v>1000000000</v>
      </c>
      <c r="BM241" s="225">
        <v>1000000</v>
      </c>
      <c r="BN241" s="225">
        <v>1000000000</v>
      </c>
    </row>
    <row r="242" spans="5:66" ht="33" customHeight="1">
      <c r="E242" s="204"/>
      <c r="F242" s="544" t="s">
        <v>148</v>
      </c>
      <c r="G242" s="547" t="s">
        <v>149</v>
      </c>
      <c r="H242" s="548"/>
      <c r="I242" s="548"/>
      <c r="J242" s="548"/>
      <c r="K242" s="548"/>
      <c r="L242" s="548"/>
      <c r="M242" s="548"/>
      <c r="N242" s="548"/>
      <c r="O242" s="548"/>
      <c r="P242" s="548"/>
      <c r="Q242" s="549"/>
      <c r="R242" s="550"/>
      <c r="S242" s="550"/>
      <c r="T242" s="550"/>
      <c r="U242" s="551"/>
      <c r="V242" s="470">
        <f>IF(OR(AV$251=0,AV242=0),0,ROUNDDOWN(Q242/Q$251,4)*100)</f>
        <v>0</v>
      </c>
      <c r="W242" s="471"/>
      <c r="X242" s="471"/>
      <c r="Y242" s="472"/>
      <c r="Z242" s="552"/>
      <c r="AA242" s="553"/>
      <c r="AB242" s="553"/>
      <c r="AC242" s="553"/>
      <c r="AD242" s="554"/>
      <c r="AE242" s="470">
        <f>IF(OR(AW$251=0,AW242=0),0,ROUNDDOWN(Z242/Z$251,4)*100)</f>
        <v>0</v>
      </c>
      <c r="AF242" s="471"/>
      <c r="AG242" s="471"/>
      <c r="AH242" s="472"/>
      <c r="AI242" s="555"/>
      <c r="AJ242" s="556"/>
      <c r="AK242" s="556"/>
      <c r="AL242" s="556"/>
      <c r="AM242" s="557"/>
      <c r="AO242" s="204"/>
      <c r="AP242" s="204"/>
      <c r="AQ242" s="204"/>
      <c r="AR242" s="204"/>
      <c r="AS242" s="149">
        <f t="shared" si="60"/>
      </c>
      <c r="AV242" s="227">
        <f t="shared" si="72"/>
        <v>0</v>
      </c>
      <c r="AW242" s="227">
        <f t="shared" si="73"/>
        <v>0</v>
      </c>
      <c r="AX242" s="246">
        <f>IF(AI242="-",0,AI242)</f>
        <v>0</v>
      </c>
      <c r="AY242" s="167">
        <v>10</v>
      </c>
      <c r="AZ242" s="172" t="str">
        <f aca="true" t="shared" si="75" ref="AZ242:AZ249">CONCATENATE(IF(OR(Q242="",Q242="-"),"無","有"),IF(OR(Z242="",Z242="-"),"無","有"),IF(OR(AI242="",AI242="-"),"無","有"))</f>
        <v>無無無</v>
      </c>
      <c r="BA242" s="169">
        <f t="shared" si="62"/>
      </c>
      <c r="BB242" s="175" t="s">
        <v>276</v>
      </c>
      <c r="BC242" s="176"/>
      <c r="BD242" s="172" t="str">
        <f t="shared" si="63"/>
        <v>-</v>
      </c>
      <c r="BE242" s="169">
        <f t="shared" si="64"/>
      </c>
      <c r="BF242" s="172" t="str">
        <f aca="true" t="shared" si="76" ref="BF242:BF249">IF(OR(AI242="-",AI242=""),"-",IF(AI242&gt;109.5,"違法",IF(AND(40.004&lt;AI242,AI242&lt;=109.5),"高っ！","ok")))</f>
        <v>-</v>
      </c>
      <c r="BG242" s="169">
        <f t="shared" si="70"/>
      </c>
      <c r="BH242" s="175" t="s">
        <v>276</v>
      </c>
      <c r="BI242" s="177"/>
      <c r="BJ242" s="251">
        <f t="shared" si="65"/>
      </c>
      <c r="BK242" s="189">
        <f t="shared" si="71"/>
      </c>
      <c r="BL242" s="225">
        <f t="shared" si="66"/>
        <v>1000000000</v>
      </c>
      <c r="BM242" s="225">
        <v>1000000</v>
      </c>
      <c r="BN242" s="225">
        <v>1000000000</v>
      </c>
    </row>
    <row r="243" spans="5:66" ht="33" customHeight="1">
      <c r="E243" s="204"/>
      <c r="F243" s="545"/>
      <c r="G243" s="434" t="s">
        <v>150</v>
      </c>
      <c r="H243" s="435"/>
      <c r="I243" s="435"/>
      <c r="J243" s="435"/>
      <c r="K243" s="435"/>
      <c r="L243" s="435"/>
      <c r="M243" s="435"/>
      <c r="N243" s="435"/>
      <c r="O243" s="435"/>
      <c r="P243" s="435"/>
      <c r="Q243" s="340"/>
      <c r="R243" s="341"/>
      <c r="S243" s="341"/>
      <c r="T243" s="341"/>
      <c r="U243" s="342"/>
      <c r="V243" s="442">
        <f>IF(OR(AV$251=0,AV243=0),0,ROUNDDOWN(Q243/Q$251,4)*100)</f>
        <v>0</v>
      </c>
      <c r="W243" s="443"/>
      <c r="X243" s="443"/>
      <c r="Y243" s="444"/>
      <c r="Z243" s="340"/>
      <c r="AA243" s="341"/>
      <c r="AB243" s="341"/>
      <c r="AC243" s="341"/>
      <c r="AD243" s="342"/>
      <c r="AE243" s="442">
        <f>IF(OR(AW$251=0,AW243=0),0,ROUNDDOWN(Z243/Z$251,4)*100)</f>
        <v>0</v>
      </c>
      <c r="AF243" s="443"/>
      <c r="AG243" s="443"/>
      <c r="AH243" s="444"/>
      <c r="AI243" s="538"/>
      <c r="AJ243" s="539"/>
      <c r="AK243" s="539"/>
      <c r="AL243" s="539"/>
      <c r="AM243" s="540"/>
      <c r="AO243" s="204"/>
      <c r="AP243" s="204"/>
      <c r="AQ243" s="204"/>
      <c r="AR243" s="204"/>
      <c r="AS243" s="149">
        <f t="shared" si="60"/>
      </c>
      <c r="AV243" s="227">
        <f t="shared" si="72"/>
        <v>0</v>
      </c>
      <c r="AW243" s="227">
        <f t="shared" si="73"/>
        <v>0</v>
      </c>
      <c r="AX243" s="227">
        <f t="shared" si="74"/>
        <v>0</v>
      </c>
      <c r="AY243" s="167">
        <v>11</v>
      </c>
      <c r="AZ243" s="172" t="str">
        <f t="shared" si="75"/>
        <v>無無無</v>
      </c>
      <c r="BA243" s="169">
        <f t="shared" si="62"/>
      </c>
      <c r="BB243" s="175" t="s">
        <v>276</v>
      </c>
      <c r="BC243" s="176"/>
      <c r="BD243" s="172" t="str">
        <f t="shared" si="63"/>
        <v>-</v>
      </c>
      <c r="BE243" s="169">
        <f t="shared" si="64"/>
      </c>
      <c r="BF243" s="172" t="str">
        <f t="shared" si="76"/>
        <v>-</v>
      </c>
      <c r="BG243" s="169">
        <f t="shared" si="70"/>
      </c>
      <c r="BH243" s="175" t="s">
        <v>276</v>
      </c>
      <c r="BI243" s="177"/>
      <c r="BJ243" s="251">
        <f t="shared" si="65"/>
      </c>
      <c r="BK243" s="189">
        <f t="shared" si="71"/>
      </c>
      <c r="BL243" s="225">
        <f t="shared" si="66"/>
        <v>1000000000</v>
      </c>
      <c r="BM243" s="225">
        <v>1000000</v>
      </c>
      <c r="BN243" s="225">
        <v>1000000000</v>
      </c>
    </row>
    <row r="244" spans="5:66" ht="33" customHeight="1">
      <c r="E244" s="204"/>
      <c r="F244" s="545"/>
      <c r="G244" s="434" t="s">
        <v>151</v>
      </c>
      <c r="H244" s="435"/>
      <c r="I244" s="435"/>
      <c r="J244" s="435"/>
      <c r="K244" s="435"/>
      <c r="L244" s="435"/>
      <c r="M244" s="435"/>
      <c r="N244" s="435"/>
      <c r="O244" s="435"/>
      <c r="P244" s="435"/>
      <c r="Q244" s="340"/>
      <c r="R244" s="341"/>
      <c r="S244" s="341"/>
      <c r="T244" s="341"/>
      <c r="U244" s="342"/>
      <c r="V244" s="442">
        <f aca="true" t="shared" si="77" ref="V244:V249">IF(OR(AV$251=0,AV244=0),0,ROUNDDOWN(Q244/Q$251,4)*100)</f>
        <v>0</v>
      </c>
      <c r="W244" s="443"/>
      <c r="X244" s="443"/>
      <c r="Y244" s="444"/>
      <c r="Z244" s="340"/>
      <c r="AA244" s="341"/>
      <c r="AB244" s="341"/>
      <c r="AC244" s="341"/>
      <c r="AD244" s="342"/>
      <c r="AE244" s="442">
        <f aca="true" t="shared" si="78" ref="AE244:AE249">IF(OR(AW$251=0,AW244=0),0,ROUNDDOWN(Z244/Z$251,4)*100)</f>
        <v>0</v>
      </c>
      <c r="AF244" s="443"/>
      <c r="AG244" s="443"/>
      <c r="AH244" s="444"/>
      <c r="AI244" s="538"/>
      <c r="AJ244" s="539"/>
      <c r="AK244" s="539"/>
      <c r="AL244" s="539"/>
      <c r="AM244" s="540"/>
      <c r="AO244" s="204"/>
      <c r="AP244" s="204"/>
      <c r="AQ244" s="204"/>
      <c r="AR244" s="204"/>
      <c r="AS244" s="149">
        <f t="shared" si="60"/>
      </c>
      <c r="AV244" s="227">
        <f t="shared" si="72"/>
        <v>0</v>
      </c>
      <c r="AW244" s="227">
        <f t="shared" si="73"/>
        <v>0</v>
      </c>
      <c r="AX244" s="227">
        <f t="shared" si="74"/>
        <v>0</v>
      </c>
      <c r="AY244" s="167">
        <v>12</v>
      </c>
      <c r="AZ244" s="172" t="str">
        <f t="shared" si="75"/>
        <v>無無無</v>
      </c>
      <c r="BA244" s="169">
        <f t="shared" si="62"/>
      </c>
      <c r="BB244" s="175" t="s">
        <v>276</v>
      </c>
      <c r="BC244" s="176"/>
      <c r="BD244" s="172" t="str">
        <f t="shared" si="63"/>
        <v>-</v>
      </c>
      <c r="BE244" s="169">
        <f t="shared" si="64"/>
      </c>
      <c r="BF244" s="172" t="str">
        <f t="shared" si="76"/>
        <v>-</v>
      </c>
      <c r="BG244" s="169">
        <f t="shared" si="70"/>
      </c>
      <c r="BH244" s="175" t="s">
        <v>276</v>
      </c>
      <c r="BI244" s="177"/>
      <c r="BJ244" s="251">
        <f t="shared" si="65"/>
      </c>
      <c r="BK244" s="189">
        <f t="shared" si="71"/>
      </c>
      <c r="BL244" s="225">
        <f t="shared" si="66"/>
        <v>1000000000</v>
      </c>
      <c r="BM244" s="225">
        <v>1000000</v>
      </c>
      <c r="BN244" s="225">
        <v>1000000000</v>
      </c>
    </row>
    <row r="245" spans="5:66" ht="33" customHeight="1">
      <c r="E245" s="204"/>
      <c r="F245" s="545"/>
      <c r="G245" s="536" t="s">
        <v>152</v>
      </c>
      <c r="H245" s="537"/>
      <c r="I245" s="537"/>
      <c r="J245" s="537"/>
      <c r="K245" s="537"/>
      <c r="L245" s="537"/>
      <c r="M245" s="537"/>
      <c r="N245" s="537"/>
      <c r="O245" s="537"/>
      <c r="P245" s="537"/>
      <c r="Q245" s="340"/>
      <c r="R245" s="341"/>
      <c r="S245" s="341"/>
      <c r="T245" s="341"/>
      <c r="U245" s="342"/>
      <c r="V245" s="442">
        <f t="shared" si="77"/>
        <v>0</v>
      </c>
      <c r="W245" s="443"/>
      <c r="X245" s="443"/>
      <c r="Y245" s="444"/>
      <c r="Z245" s="340"/>
      <c r="AA245" s="341"/>
      <c r="AB245" s="341"/>
      <c r="AC245" s="341"/>
      <c r="AD245" s="342"/>
      <c r="AE245" s="442">
        <f t="shared" si="78"/>
        <v>0</v>
      </c>
      <c r="AF245" s="443"/>
      <c r="AG245" s="443"/>
      <c r="AH245" s="444"/>
      <c r="AI245" s="538"/>
      <c r="AJ245" s="539"/>
      <c r="AK245" s="539"/>
      <c r="AL245" s="539"/>
      <c r="AM245" s="540"/>
      <c r="AO245" s="204"/>
      <c r="AP245" s="204"/>
      <c r="AQ245" s="204"/>
      <c r="AR245" s="204"/>
      <c r="AS245" s="149">
        <f t="shared" si="60"/>
      </c>
      <c r="AV245" s="227">
        <f t="shared" si="72"/>
        <v>0</v>
      </c>
      <c r="AW245" s="227">
        <f t="shared" si="73"/>
        <v>0</v>
      </c>
      <c r="AX245" s="227">
        <f t="shared" si="74"/>
        <v>0</v>
      </c>
      <c r="AY245" s="167">
        <v>13</v>
      </c>
      <c r="AZ245" s="172" t="str">
        <f t="shared" si="75"/>
        <v>無無無</v>
      </c>
      <c r="BA245" s="169">
        <f t="shared" si="62"/>
      </c>
      <c r="BB245" s="175" t="s">
        <v>276</v>
      </c>
      <c r="BC245" s="176"/>
      <c r="BD245" s="172" t="str">
        <f t="shared" si="63"/>
        <v>-</v>
      </c>
      <c r="BE245" s="169">
        <f t="shared" si="64"/>
      </c>
      <c r="BF245" s="172" t="str">
        <f t="shared" si="76"/>
        <v>-</v>
      </c>
      <c r="BG245" s="169">
        <f t="shared" si="70"/>
      </c>
      <c r="BH245" s="175" t="s">
        <v>276</v>
      </c>
      <c r="BI245" s="177"/>
      <c r="BJ245" s="251">
        <f t="shared" si="65"/>
      </c>
      <c r="BK245" s="189">
        <f t="shared" si="71"/>
      </c>
      <c r="BL245" s="225">
        <f t="shared" si="66"/>
        <v>1000000000</v>
      </c>
      <c r="BM245" s="225">
        <v>1000000</v>
      </c>
      <c r="BN245" s="225">
        <v>1000000000</v>
      </c>
    </row>
    <row r="246" spans="5:66" ht="33" customHeight="1">
      <c r="E246" s="204"/>
      <c r="F246" s="545"/>
      <c r="G246" s="536" t="s">
        <v>155</v>
      </c>
      <c r="H246" s="537"/>
      <c r="I246" s="537"/>
      <c r="J246" s="537"/>
      <c r="K246" s="537"/>
      <c r="L246" s="537"/>
      <c r="M246" s="537"/>
      <c r="N246" s="537"/>
      <c r="O246" s="537"/>
      <c r="P246" s="537"/>
      <c r="Q246" s="340"/>
      <c r="R246" s="341"/>
      <c r="S246" s="341"/>
      <c r="T246" s="341"/>
      <c r="U246" s="342"/>
      <c r="V246" s="442">
        <f t="shared" si="77"/>
        <v>0</v>
      </c>
      <c r="W246" s="443"/>
      <c r="X246" s="443"/>
      <c r="Y246" s="444"/>
      <c r="Z246" s="340"/>
      <c r="AA246" s="341"/>
      <c r="AB246" s="341"/>
      <c r="AC246" s="341"/>
      <c r="AD246" s="342"/>
      <c r="AE246" s="442">
        <f t="shared" si="78"/>
        <v>0</v>
      </c>
      <c r="AF246" s="443"/>
      <c r="AG246" s="443"/>
      <c r="AH246" s="444"/>
      <c r="AI246" s="538"/>
      <c r="AJ246" s="539"/>
      <c r="AK246" s="539"/>
      <c r="AL246" s="539"/>
      <c r="AM246" s="540"/>
      <c r="AO246" s="204"/>
      <c r="AP246" s="204"/>
      <c r="AQ246" s="204"/>
      <c r="AR246" s="204"/>
      <c r="AS246" s="149">
        <f t="shared" si="60"/>
      </c>
      <c r="AV246" s="227">
        <f t="shared" si="72"/>
        <v>0</v>
      </c>
      <c r="AW246" s="227">
        <f t="shared" si="73"/>
        <v>0</v>
      </c>
      <c r="AX246" s="227">
        <f t="shared" si="74"/>
        <v>0</v>
      </c>
      <c r="AY246" s="167">
        <v>14</v>
      </c>
      <c r="AZ246" s="172" t="str">
        <f t="shared" si="75"/>
        <v>無無無</v>
      </c>
      <c r="BA246" s="169">
        <f t="shared" si="62"/>
      </c>
      <c r="BB246" s="175" t="s">
        <v>276</v>
      </c>
      <c r="BC246" s="176"/>
      <c r="BD246" s="172" t="str">
        <f t="shared" si="63"/>
        <v>-</v>
      </c>
      <c r="BE246" s="169">
        <f t="shared" si="64"/>
      </c>
      <c r="BF246" s="172" t="str">
        <f t="shared" si="76"/>
        <v>-</v>
      </c>
      <c r="BG246" s="169">
        <f t="shared" si="70"/>
      </c>
      <c r="BH246" s="175" t="s">
        <v>276</v>
      </c>
      <c r="BI246" s="177"/>
      <c r="BJ246" s="251">
        <f t="shared" si="65"/>
      </c>
      <c r="BK246" s="189">
        <f t="shared" si="71"/>
      </c>
      <c r="BL246" s="225">
        <f t="shared" si="66"/>
        <v>1000000000</v>
      </c>
      <c r="BM246" s="225">
        <v>1000000</v>
      </c>
      <c r="BN246" s="225">
        <v>1000000000</v>
      </c>
    </row>
    <row r="247" spans="5:66" ht="33" customHeight="1">
      <c r="E247" s="204"/>
      <c r="F247" s="545"/>
      <c r="G247" s="536" t="s">
        <v>156</v>
      </c>
      <c r="H247" s="537"/>
      <c r="I247" s="537"/>
      <c r="J247" s="537"/>
      <c r="K247" s="537"/>
      <c r="L247" s="537"/>
      <c r="M247" s="537"/>
      <c r="N247" s="537"/>
      <c r="O247" s="537"/>
      <c r="P247" s="537"/>
      <c r="Q247" s="340"/>
      <c r="R247" s="341"/>
      <c r="S247" s="341"/>
      <c r="T247" s="341"/>
      <c r="U247" s="342"/>
      <c r="V247" s="442">
        <f t="shared" si="77"/>
        <v>0</v>
      </c>
      <c r="W247" s="443"/>
      <c r="X247" s="443"/>
      <c r="Y247" s="444"/>
      <c r="Z247" s="340"/>
      <c r="AA247" s="341"/>
      <c r="AB247" s="341"/>
      <c r="AC247" s="341"/>
      <c r="AD247" s="342"/>
      <c r="AE247" s="442">
        <f t="shared" si="78"/>
        <v>0</v>
      </c>
      <c r="AF247" s="443"/>
      <c r="AG247" s="443"/>
      <c r="AH247" s="444"/>
      <c r="AI247" s="538"/>
      <c r="AJ247" s="539"/>
      <c r="AK247" s="539"/>
      <c r="AL247" s="539"/>
      <c r="AM247" s="540"/>
      <c r="AO247" s="204"/>
      <c r="AP247" s="204"/>
      <c r="AQ247" s="204"/>
      <c r="AR247" s="204"/>
      <c r="AS247" s="149">
        <f t="shared" si="60"/>
      </c>
      <c r="AV247" s="227">
        <f t="shared" si="72"/>
        <v>0</v>
      </c>
      <c r="AW247" s="227">
        <f t="shared" si="73"/>
        <v>0</v>
      </c>
      <c r="AX247" s="227">
        <f t="shared" si="74"/>
        <v>0</v>
      </c>
      <c r="AY247" s="167">
        <v>15</v>
      </c>
      <c r="AZ247" s="172" t="str">
        <f t="shared" si="75"/>
        <v>無無無</v>
      </c>
      <c r="BA247" s="169">
        <f t="shared" si="62"/>
      </c>
      <c r="BB247" s="175" t="s">
        <v>276</v>
      </c>
      <c r="BC247" s="176"/>
      <c r="BD247" s="172" t="str">
        <f t="shared" si="63"/>
        <v>-</v>
      </c>
      <c r="BE247" s="169">
        <f t="shared" si="64"/>
      </c>
      <c r="BF247" s="172" t="str">
        <f t="shared" si="76"/>
        <v>-</v>
      </c>
      <c r="BG247" s="169">
        <f t="shared" si="70"/>
      </c>
      <c r="BH247" s="175" t="s">
        <v>276</v>
      </c>
      <c r="BI247" s="177"/>
      <c r="BJ247" s="251">
        <f t="shared" si="65"/>
      </c>
      <c r="BK247" s="189">
        <f t="shared" si="71"/>
      </c>
      <c r="BL247" s="225">
        <f t="shared" si="66"/>
        <v>1000000000</v>
      </c>
      <c r="BM247" s="225">
        <v>1000000</v>
      </c>
      <c r="BN247" s="225">
        <v>1000000000</v>
      </c>
    </row>
    <row r="248" spans="5:66" ht="33" customHeight="1">
      <c r="E248" s="204"/>
      <c r="F248" s="545"/>
      <c r="G248" s="536" t="s">
        <v>157</v>
      </c>
      <c r="H248" s="537"/>
      <c r="I248" s="537"/>
      <c r="J248" s="537"/>
      <c r="K248" s="537"/>
      <c r="L248" s="537"/>
      <c r="M248" s="537"/>
      <c r="N248" s="537"/>
      <c r="O248" s="537"/>
      <c r="P248" s="537"/>
      <c r="Q248" s="340"/>
      <c r="R248" s="341"/>
      <c r="S248" s="341"/>
      <c r="T248" s="341"/>
      <c r="U248" s="342"/>
      <c r="V248" s="442">
        <f t="shared" si="77"/>
        <v>0</v>
      </c>
      <c r="W248" s="443"/>
      <c r="X248" s="443"/>
      <c r="Y248" s="444"/>
      <c r="Z248" s="340"/>
      <c r="AA248" s="341"/>
      <c r="AB248" s="341"/>
      <c r="AC248" s="341"/>
      <c r="AD248" s="342"/>
      <c r="AE248" s="442">
        <f t="shared" si="78"/>
        <v>0</v>
      </c>
      <c r="AF248" s="443"/>
      <c r="AG248" s="443"/>
      <c r="AH248" s="444"/>
      <c r="AI248" s="538"/>
      <c r="AJ248" s="539"/>
      <c r="AK248" s="539"/>
      <c r="AL248" s="539"/>
      <c r="AM248" s="540"/>
      <c r="AO248" s="204"/>
      <c r="AP248" s="204"/>
      <c r="AQ248" s="204"/>
      <c r="AR248" s="204"/>
      <c r="AS248" s="149">
        <f t="shared" si="60"/>
      </c>
      <c r="AV248" s="227">
        <f t="shared" si="72"/>
        <v>0</v>
      </c>
      <c r="AW248" s="227">
        <f t="shared" si="73"/>
        <v>0</v>
      </c>
      <c r="AX248" s="227">
        <f t="shared" si="74"/>
        <v>0</v>
      </c>
      <c r="AY248" s="167">
        <v>16</v>
      </c>
      <c r="AZ248" s="172" t="str">
        <f t="shared" si="75"/>
        <v>無無無</v>
      </c>
      <c r="BA248" s="169">
        <f t="shared" si="62"/>
      </c>
      <c r="BB248" s="175" t="s">
        <v>276</v>
      </c>
      <c r="BC248" s="176"/>
      <c r="BD248" s="172" t="str">
        <f t="shared" si="63"/>
        <v>-</v>
      </c>
      <c r="BE248" s="169">
        <f t="shared" si="64"/>
      </c>
      <c r="BF248" s="172" t="str">
        <f t="shared" si="76"/>
        <v>-</v>
      </c>
      <c r="BG248" s="169">
        <f t="shared" si="70"/>
      </c>
      <c r="BH248" s="175" t="s">
        <v>276</v>
      </c>
      <c r="BI248" s="177"/>
      <c r="BJ248" s="251">
        <f t="shared" si="65"/>
      </c>
      <c r="BK248" s="189">
        <f t="shared" si="71"/>
      </c>
      <c r="BL248" s="225">
        <f t="shared" si="66"/>
        <v>1000000000</v>
      </c>
      <c r="BM248" s="225">
        <v>1000000</v>
      </c>
      <c r="BN248" s="225">
        <v>1000000000</v>
      </c>
    </row>
    <row r="249" spans="5:66" ht="33" customHeight="1" thickBot="1">
      <c r="E249" s="204"/>
      <c r="F249" s="545"/>
      <c r="G249" s="434" t="s">
        <v>153</v>
      </c>
      <c r="H249" s="435"/>
      <c r="I249" s="435"/>
      <c r="J249" s="435"/>
      <c r="K249" s="435"/>
      <c r="L249" s="435"/>
      <c r="M249" s="435"/>
      <c r="N249" s="435"/>
      <c r="O249" s="435"/>
      <c r="P249" s="435"/>
      <c r="Q249" s="419"/>
      <c r="R249" s="420"/>
      <c r="S249" s="420"/>
      <c r="T249" s="420"/>
      <c r="U249" s="421"/>
      <c r="V249" s="442">
        <f t="shared" si="77"/>
        <v>0</v>
      </c>
      <c r="W249" s="443"/>
      <c r="X249" s="443"/>
      <c r="Y249" s="444"/>
      <c r="Z249" s="340"/>
      <c r="AA249" s="341"/>
      <c r="AB249" s="341"/>
      <c r="AC249" s="341"/>
      <c r="AD249" s="342"/>
      <c r="AE249" s="442">
        <f t="shared" si="78"/>
        <v>0</v>
      </c>
      <c r="AF249" s="443"/>
      <c r="AG249" s="443"/>
      <c r="AH249" s="444"/>
      <c r="AI249" s="558"/>
      <c r="AJ249" s="559"/>
      <c r="AK249" s="559"/>
      <c r="AL249" s="559"/>
      <c r="AM249" s="560"/>
      <c r="AO249" s="204"/>
      <c r="AP249" s="204"/>
      <c r="AQ249" s="204"/>
      <c r="AR249" s="204"/>
      <c r="AS249" s="149">
        <f t="shared" si="60"/>
      </c>
      <c r="AV249" s="227">
        <f t="shared" si="72"/>
        <v>0</v>
      </c>
      <c r="AW249" s="227">
        <f t="shared" si="73"/>
        <v>0</v>
      </c>
      <c r="AX249" s="240">
        <f t="shared" si="74"/>
        <v>0</v>
      </c>
      <c r="AY249" s="167">
        <v>17</v>
      </c>
      <c r="AZ249" s="172" t="str">
        <f t="shared" si="75"/>
        <v>無無無</v>
      </c>
      <c r="BA249" s="169">
        <f t="shared" si="62"/>
      </c>
      <c r="BB249" s="175" t="s">
        <v>276</v>
      </c>
      <c r="BC249" s="176"/>
      <c r="BD249" s="172" t="str">
        <f t="shared" si="63"/>
        <v>-</v>
      </c>
      <c r="BE249" s="169">
        <f t="shared" si="64"/>
      </c>
      <c r="BF249" s="172" t="str">
        <f t="shared" si="76"/>
        <v>-</v>
      </c>
      <c r="BG249" s="169">
        <f>IF(ISNA(VLOOKUP(BF249,BF$75:BG$91,2,FALSE))=TRUE,"",VLOOKUP(BF249,BF$75:BG$91,2,FALSE))</f>
      </c>
      <c r="BH249" s="175" t="s">
        <v>276</v>
      </c>
      <c r="BI249" s="177"/>
      <c r="BJ249" s="251">
        <f t="shared" si="65"/>
      </c>
      <c r="BK249" s="189">
        <f t="shared" si="71"/>
      </c>
      <c r="BL249" s="225">
        <f t="shared" si="66"/>
        <v>1000000000</v>
      </c>
      <c r="BM249" s="225">
        <v>1000000</v>
      </c>
      <c r="BN249" s="225">
        <v>1000000000</v>
      </c>
    </row>
    <row r="250" spans="5:66" ht="33" customHeight="1">
      <c r="E250" s="204"/>
      <c r="F250" s="546"/>
      <c r="G250" s="283" t="s">
        <v>74</v>
      </c>
      <c r="H250" s="284"/>
      <c r="I250" s="284"/>
      <c r="J250" s="284"/>
      <c r="K250" s="284"/>
      <c r="L250" s="284"/>
      <c r="M250" s="284"/>
      <c r="N250" s="284"/>
      <c r="O250" s="284"/>
      <c r="P250" s="284"/>
      <c r="Q250" s="412"/>
      <c r="R250" s="413"/>
      <c r="S250" s="413"/>
      <c r="T250" s="413"/>
      <c r="U250" s="414"/>
      <c r="V250" s="527">
        <f>IF(OR(AV$251=0,AV250=0),0,ROUNDDOWN(Q250/Q$251,4)*100)</f>
        <v>0</v>
      </c>
      <c r="W250" s="528"/>
      <c r="X250" s="528"/>
      <c r="Y250" s="535"/>
      <c r="Z250" s="412"/>
      <c r="AA250" s="413"/>
      <c r="AB250" s="413"/>
      <c r="AC250" s="413"/>
      <c r="AD250" s="414"/>
      <c r="AE250" s="527">
        <f>IF(OR(AW$251=0,AW250=0),0,ROUNDDOWN(Z250/Z$251,4)*100)</f>
        <v>0</v>
      </c>
      <c r="AF250" s="528"/>
      <c r="AG250" s="528"/>
      <c r="AH250" s="529"/>
      <c r="AI250" s="530">
        <f>ROUNDDOWN(IF(AW250=0,0,(AW242*AX242+AW243*AX243+AW244*AX244+AW245*AX245+AW246*AX246+AW247*AX247+AW248*AX248+AW249*AX249)/AW250),2)</f>
        <v>0</v>
      </c>
      <c r="AJ250" s="531"/>
      <c r="AK250" s="531"/>
      <c r="AL250" s="531"/>
      <c r="AM250" s="532"/>
      <c r="AO250" s="204"/>
      <c r="AP250" s="204"/>
      <c r="AQ250" s="204"/>
      <c r="AR250" s="204"/>
      <c r="AS250" s="149">
        <f t="shared" si="60"/>
      </c>
      <c r="AV250" s="227">
        <f>IF(Q250="-",0,Q250)</f>
        <v>0</v>
      </c>
      <c r="AW250" s="227">
        <f>IF(Z250="-",0,Z250)</f>
        <v>0</v>
      </c>
      <c r="AX250" s="249"/>
      <c r="AY250" s="167">
        <v>18</v>
      </c>
      <c r="AZ250" s="172" t="str">
        <f>CONCATENATE(IF(OR(Q250="",Q250="-"),"無","有"),IF(OR(Z250="",Z250="-"),"無","有"))</f>
        <v>無無</v>
      </c>
      <c r="BA250" s="169">
        <f t="shared" si="62"/>
      </c>
      <c r="BB250" s="172" t="str">
        <f>CONCATENATE(IF(AV250=SUM(AV242:AV249),"合","不"),IF(AND(SUM(AW242:AW249)&lt;=AW250,AW250&lt;=(SUM(AW242:AW249)+8)),"合","不"))</f>
        <v>合合</v>
      </c>
      <c r="BC250" s="178">
        <f>IF(ISNA(VLOOKUP(BB250,BB$75:BC$91,2,FALSE))=TRUE,"",VLOOKUP(BB250,BB$75:BC$91,2,FALSE))</f>
      </c>
      <c r="BD250" s="172" t="str">
        <f t="shared" si="63"/>
        <v>-</v>
      </c>
      <c r="BE250" s="169">
        <f t="shared" si="64"/>
      </c>
      <c r="BF250" s="175" t="s">
        <v>276</v>
      </c>
      <c r="BG250" s="176"/>
      <c r="BH250" s="175" t="s">
        <v>276</v>
      </c>
      <c r="BI250" s="177"/>
      <c r="BJ250" s="251">
        <f t="shared" si="65"/>
      </c>
      <c r="BK250" s="189">
        <f t="shared" si="71"/>
      </c>
      <c r="BL250" s="225">
        <f t="shared" si="66"/>
        <v>1000000000</v>
      </c>
      <c r="BM250" s="225">
        <v>1000000</v>
      </c>
      <c r="BN250" s="225">
        <v>1000000000</v>
      </c>
    </row>
    <row r="251" spans="5:66" ht="33" customHeight="1" thickBot="1">
      <c r="E251" s="204"/>
      <c r="F251" s="281" t="s">
        <v>75</v>
      </c>
      <c r="G251" s="282"/>
      <c r="H251" s="282"/>
      <c r="I251" s="282"/>
      <c r="J251" s="282"/>
      <c r="K251" s="282"/>
      <c r="L251" s="282"/>
      <c r="M251" s="282"/>
      <c r="N251" s="282"/>
      <c r="O251" s="282"/>
      <c r="P251" s="282"/>
      <c r="Q251" s="431"/>
      <c r="R251" s="432"/>
      <c r="S251" s="432"/>
      <c r="T251" s="432"/>
      <c r="U251" s="433"/>
      <c r="V251" s="533">
        <v>100</v>
      </c>
      <c r="W251" s="409"/>
      <c r="X251" s="409"/>
      <c r="Y251" s="409"/>
      <c r="Z251" s="348"/>
      <c r="AA251" s="349"/>
      <c r="AB251" s="349"/>
      <c r="AC251" s="349"/>
      <c r="AD251" s="350"/>
      <c r="AE251" s="409">
        <v>100</v>
      </c>
      <c r="AF251" s="409"/>
      <c r="AG251" s="409"/>
      <c r="AH251" s="534"/>
      <c r="AI251" s="533">
        <f>ROUNDDOWN(IF(AW251=0,0,(AW233*AX233+AW234*AX234+AW235*AX235+AW236*AX236+AW237*AX237+AW238*AX238+AW239*AX239+AW240*AX240+AW242*AX242+AW243*AX243+AW244*AX244+AW245*AX245+AW246*AX246+AW247*AX247+AW248*AX248+AW249*AX249)/AW251),2)</f>
        <v>0</v>
      </c>
      <c r="AJ251" s="409"/>
      <c r="AK251" s="409"/>
      <c r="AL251" s="409"/>
      <c r="AM251" s="410"/>
      <c r="AO251" s="204"/>
      <c r="AP251" s="204"/>
      <c r="AQ251" s="204"/>
      <c r="AR251" s="204"/>
      <c r="AS251" s="149">
        <f t="shared" si="60"/>
      </c>
      <c r="AV251" s="240">
        <f t="shared" si="72"/>
        <v>0</v>
      </c>
      <c r="AW251" s="240">
        <f t="shared" si="73"/>
        <v>0</v>
      </c>
      <c r="AX251" s="250"/>
      <c r="AY251" s="167">
        <v>19</v>
      </c>
      <c r="AZ251" s="179" t="str">
        <f>CONCATENATE(IF(OR(Q251="",Q251="-"),"無","有"),IF(OR(Z251="",Z251="-"),"無","有"))</f>
        <v>無無</v>
      </c>
      <c r="BA251" s="169">
        <f t="shared" si="62"/>
      </c>
      <c r="BB251" s="179" t="str">
        <f>CONCATENATE(IF(AV251=SUM(AV242:AV249,AV233:AV240),"合","不"),IF(AND(SUM(AW233:AW240,AW242:AW249)&lt;=AW251,AW251&lt;=(SUM(AW242:AW249,AW233:AW240)+16)),"合","不"))</f>
        <v>合合</v>
      </c>
      <c r="BC251" s="178">
        <f>IF(ISNA(VLOOKUP(BB251,BB$75:BC$91,2,FALSE))=TRUE,"",VLOOKUP(BB251,BB$75:BC$91,2,FALSE))</f>
      </c>
      <c r="BD251" s="179" t="str">
        <f t="shared" si="63"/>
        <v>-</v>
      </c>
      <c r="BE251" s="169">
        <f t="shared" si="64"/>
      </c>
      <c r="BF251" s="180" t="s">
        <v>276</v>
      </c>
      <c r="BG251" s="176"/>
      <c r="BH251" s="179" t="str">
        <f>IF(AND(BG252=0,AZ251="有有"),IF(Q251&lt;=Q$108,IF(Z251&lt;=Z$108,"正正","正大"),IF(Z251&lt;=Z$108,"大正","大大")),"-")</f>
        <v>-</v>
      </c>
      <c r="BI251" s="178">
        <f>IF(ISNA(VLOOKUP(BH251,BH$75:BI$91,2,FALSE))=TRUE,"",VLOOKUP(BH251,BH$75:BI$91,2,FALSE))</f>
      </c>
      <c r="BJ251" s="251">
        <f t="shared" si="65"/>
      </c>
      <c r="BK251" s="220">
        <f t="shared" si="71"/>
      </c>
      <c r="BL251" s="225">
        <f t="shared" si="66"/>
        <v>1000000000</v>
      </c>
      <c r="BM251" s="225">
        <v>1000000</v>
      </c>
      <c r="BN251" s="225">
        <v>1000000000</v>
      </c>
    </row>
    <row r="252" spans="5:63" ht="16.5" customHeight="1" thickBot="1">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204"/>
      <c r="AB252" s="148"/>
      <c r="AC252" s="148"/>
      <c r="AD252" s="148"/>
      <c r="AE252" s="148"/>
      <c r="AF252" s="148"/>
      <c r="AG252" s="148"/>
      <c r="AH252" s="148"/>
      <c r="AI252" s="148"/>
      <c r="AJ252" s="148"/>
      <c r="AK252" s="148"/>
      <c r="AL252" s="148"/>
      <c r="AM252" s="148"/>
      <c r="AN252" s="148"/>
      <c r="AO252" s="148"/>
      <c r="AP252" s="148"/>
      <c r="AQ252" s="148"/>
      <c r="AR252" s="148"/>
      <c r="AY252" s="167"/>
      <c r="AZ252" s="184">
        <f>COUNTIF(AZ233:AZ251,"無無無")+COUNTIF(AZ233:AZ251,"無無")</f>
        <v>19</v>
      </c>
      <c r="BA252" s="197" t="str">
        <f>IF(AZ252=AY251,"｢該当なし」","")</f>
        <v>｢該当なし」</v>
      </c>
      <c r="BB252" s="155"/>
      <c r="BC252" s="155"/>
      <c r="BD252" s="155"/>
      <c r="BE252" s="155"/>
      <c r="BF252" s="181" t="s">
        <v>424</v>
      </c>
      <c r="BG252" s="164">
        <f>(4*AY251)-(COUNTIF(BA233:BA251,"")+COUNTIF(BC233:BC251,"")+COUNTIF(BE233:BE251,"")+COUNTIF(BG233:BG251,""))</f>
        <v>0</v>
      </c>
      <c r="BH252" s="153"/>
      <c r="BI252" s="153"/>
      <c r="BJ252" s="181" t="s">
        <v>425</v>
      </c>
      <c r="BK252" s="164">
        <f>AY251-COUNTIF(BJ233:BJ251,"")</f>
        <v>0</v>
      </c>
    </row>
    <row r="253" spans="5:44" ht="16.5" customHeight="1">
      <c r="E253" s="204"/>
      <c r="F253" s="204" t="s">
        <v>55</v>
      </c>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row>
    <row r="254" spans="5:44" ht="13.5" customHeight="1">
      <c r="E254" s="204"/>
      <c r="F254" s="204"/>
      <c r="G254" s="9" t="s">
        <v>56</v>
      </c>
      <c r="H254" s="357" t="s">
        <v>154</v>
      </c>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204"/>
    </row>
    <row r="255" spans="5:44" ht="13.5" customHeight="1">
      <c r="E255" s="204"/>
      <c r="F255" s="204"/>
      <c r="G255" s="9" t="s">
        <v>90</v>
      </c>
      <c r="H255" s="357" t="s">
        <v>302</v>
      </c>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204"/>
    </row>
    <row r="256" spans="5:44" ht="13.5" customHeight="1">
      <c r="E256" s="204"/>
      <c r="F256" s="204"/>
      <c r="G256" s="204"/>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204"/>
    </row>
    <row r="257" spans="5:44" ht="13.5" customHeight="1">
      <c r="E257" s="204"/>
      <c r="F257" s="204"/>
      <c r="G257" s="204"/>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204"/>
    </row>
    <row r="258" spans="5:44" ht="13.5" customHeight="1">
      <c r="E258" s="204"/>
      <c r="F258" s="204"/>
      <c r="G258" s="204"/>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4"/>
    </row>
    <row r="260" spans="5:46" ht="16.5" customHeight="1">
      <c r="E260" s="148"/>
      <c r="F260" s="150" t="str">
        <f>IF(BK266=0,"７　総量規制超過部分の貸付残高","７．総量規制超過部分の貸付残高")</f>
        <v>７　総量規制超過部分の貸付残高</v>
      </c>
      <c r="G260" s="148"/>
      <c r="H260" s="148"/>
      <c r="I260" s="148"/>
      <c r="J260" s="148"/>
      <c r="K260" s="148"/>
      <c r="L260" s="148"/>
      <c r="M260" s="148"/>
      <c r="N260" s="148"/>
      <c r="O260" s="148"/>
      <c r="P260" s="148"/>
      <c r="Q260" s="148"/>
      <c r="R260" s="148"/>
      <c r="S260" s="148"/>
      <c r="T260" s="148"/>
      <c r="U260" s="148"/>
      <c r="V260" s="148"/>
      <c r="W260" s="148"/>
      <c r="X260" s="148"/>
      <c r="Y260" s="142"/>
      <c r="Z260" s="148"/>
      <c r="AA260" s="148"/>
      <c r="AB260" s="148"/>
      <c r="AC260" s="148"/>
      <c r="AD260" s="148"/>
      <c r="AE260" s="12"/>
      <c r="AF260" s="12"/>
      <c r="AG260" s="12"/>
      <c r="AH260" s="12"/>
      <c r="AI260" s="12"/>
      <c r="AJ260" s="12"/>
      <c r="AK260" s="12"/>
      <c r="AL260" s="12"/>
      <c r="AM260" s="12"/>
      <c r="AN260" s="12"/>
      <c r="AO260" s="12"/>
      <c r="AP260" s="12"/>
      <c r="AQ260" s="12"/>
      <c r="AR260" s="62"/>
      <c r="AT260" s="163" t="str">
        <f>IF(BK266=0,"（表7）エラーなし","！（表7）エラー情報あり")</f>
        <v>（表7）エラーなし</v>
      </c>
    </row>
    <row r="261" spans="5:44" ht="7.5" customHeight="1">
      <c r="E261" s="148"/>
      <c r="F261" s="148"/>
      <c r="G261" s="148"/>
      <c r="H261" s="148"/>
      <c r="I261" s="148"/>
      <c r="J261" s="148"/>
      <c r="K261" s="148"/>
      <c r="L261" s="148"/>
      <c r="M261" s="148"/>
      <c r="N261" s="148"/>
      <c r="O261" s="148"/>
      <c r="P261" s="148"/>
      <c r="Q261" s="204"/>
      <c r="R261" s="148"/>
      <c r="S261" s="148"/>
      <c r="T261" s="148"/>
      <c r="U261" s="148"/>
      <c r="V261" s="148"/>
      <c r="W261" s="148"/>
      <c r="X261" s="148"/>
      <c r="Y261" s="148"/>
      <c r="Z261" s="148"/>
      <c r="AA261" s="148"/>
      <c r="AB261" s="148"/>
      <c r="AC261" s="148"/>
      <c r="AD261" s="148"/>
      <c r="AE261" s="12"/>
      <c r="AF261" s="12"/>
      <c r="AG261" s="12"/>
      <c r="AH261" s="12"/>
      <c r="AI261" s="12"/>
      <c r="AJ261" s="12"/>
      <c r="AK261" s="12"/>
      <c r="AL261" s="12"/>
      <c r="AM261" s="12"/>
      <c r="AN261" s="12"/>
      <c r="AO261" s="12"/>
      <c r="AP261" s="12"/>
      <c r="AQ261" s="12"/>
      <c r="AR261" s="62"/>
    </row>
    <row r="262" spans="5:44" ht="16.5" customHeight="1" thickBot="1">
      <c r="E262" s="204"/>
      <c r="F262" s="415" t="s">
        <v>311</v>
      </c>
      <c r="G262" s="416"/>
      <c r="H262" s="416"/>
      <c r="I262" s="416"/>
      <c r="J262" s="416"/>
      <c r="K262" s="416"/>
      <c r="L262" s="416"/>
      <c r="M262" s="416"/>
      <c r="N262" s="416"/>
      <c r="O262" s="416"/>
      <c r="P262" s="416"/>
      <c r="Q262" s="294" t="s">
        <v>314</v>
      </c>
      <c r="R262" s="295"/>
      <c r="S262" s="295"/>
      <c r="T262" s="295"/>
      <c r="U262" s="296"/>
      <c r="V262" s="295" t="s">
        <v>158</v>
      </c>
      <c r="W262" s="295"/>
      <c r="X262" s="295"/>
      <c r="Y262" s="295"/>
      <c r="Z262" s="295"/>
      <c r="AA262" s="295"/>
      <c r="AB262" s="295"/>
      <c r="AC262" s="295"/>
      <c r="AD262" s="296"/>
      <c r="AE262" s="217"/>
      <c r="AF262" s="218"/>
      <c r="AG262" s="218"/>
      <c r="AH262" s="218"/>
      <c r="AI262" s="218"/>
      <c r="AJ262" s="218"/>
      <c r="AK262" s="218"/>
      <c r="AL262" s="218"/>
      <c r="AM262" s="218"/>
      <c r="AN262" s="218"/>
      <c r="AO262" s="218"/>
      <c r="AP262" s="218"/>
      <c r="AQ262" s="218"/>
      <c r="AR262" s="62"/>
    </row>
    <row r="263" spans="5:63" ht="16.5" customHeight="1" thickBot="1" thickTop="1">
      <c r="E263" s="204"/>
      <c r="F263" s="417"/>
      <c r="G263" s="418"/>
      <c r="H263" s="418"/>
      <c r="I263" s="418"/>
      <c r="J263" s="418"/>
      <c r="K263" s="418"/>
      <c r="L263" s="418"/>
      <c r="M263" s="418"/>
      <c r="N263" s="418"/>
      <c r="O263" s="418"/>
      <c r="P263" s="418"/>
      <c r="Q263" s="300"/>
      <c r="R263" s="301"/>
      <c r="S263" s="301"/>
      <c r="T263" s="301"/>
      <c r="U263" s="302"/>
      <c r="V263" s="301"/>
      <c r="W263" s="301"/>
      <c r="X263" s="301"/>
      <c r="Y263" s="301"/>
      <c r="Z263" s="301"/>
      <c r="AA263" s="301"/>
      <c r="AB263" s="301"/>
      <c r="AC263" s="301"/>
      <c r="AD263" s="302"/>
      <c r="AE263" s="217"/>
      <c r="AF263" s="218"/>
      <c r="AG263" s="218"/>
      <c r="AH263" s="218"/>
      <c r="AI263" s="218"/>
      <c r="AJ263" s="218"/>
      <c r="AK263" s="218"/>
      <c r="AL263" s="218"/>
      <c r="AM263" s="218"/>
      <c r="AN263" s="218"/>
      <c r="AO263" s="218"/>
      <c r="AP263" s="218"/>
      <c r="AQ263" s="218"/>
      <c r="AR263" s="62"/>
      <c r="AZ263" s="277" t="s">
        <v>354</v>
      </c>
      <c r="BA263" s="277"/>
      <c r="BB263" s="277" t="s">
        <v>355</v>
      </c>
      <c r="BC263" s="277"/>
      <c r="BD263" s="277" t="s">
        <v>408</v>
      </c>
      <c r="BE263" s="277"/>
      <c r="BF263" s="277" t="s">
        <v>409</v>
      </c>
      <c r="BG263" s="277"/>
      <c r="BH263" s="277" t="s">
        <v>356</v>
      </c>
      <c r="BI263" s="277"/>
      <c r="BJ263" s="156"/>
      <c r="BK263" s="222" t="s">
        <v>439</v>
      </c>
    </row>
    <row r="264" spans="5:66" ht="14.25" customHeight="1" thickBot="1" thickTop="1">
      <c r="E264" s="204"/>
      <c r="F264" s="564" t="s">
        <v>159</v>
      </c>
      <c r="G264" s="565"/>
      <c r="H264" s="565"/>
      <c r="I264" s="565"/>
      <c r="J264" s="565"/>
      <c r="K264" s="565"/>
      <c r="L264" s="565"/>
      <c r="M264" s="565"/>
      <c r="N264" s="565"/>
      <c r="O264" s="565"/>
      <c r="P264" s="565"/>
      <c r="Q264" s="605" t="s">
        <v>71</v>
      </c>
      <c r="R264" s="606"/>
      <c r="S264" s="606"/>
      <c r="T264" s="606"/>
      <c r="U264" s="607"/>
      <c r="V264" s="306" t="str">
        <f>$X$393</f>
        <v>千円</v>
      </c>
      <c r="W264" s="306"/>
      <c r="X264" s="306"/>
      <c r="Y264" s="306"/>
      <c r="Z264" s="306"/>
      <c r="AA264" s="306"/>
      <c r="AB264" s="306"/>
      <c r="AC264" s="306"/>
      <c r="AD264" s="572"/>
      <c r="AF264" s="63"/>
      <c r="AG264" s="63"/>
      <c r="AH264" s="63"/>
      <c r="AI264" s="63"/>
      <c r="AJ264" s="63"/>
      <c r="AK264" s="63"/>
      <c r="AL264" s="63"/>
      <c r="AM264" s="63"/>
      <c r="AN264" s="218"/>
      <c r="AO264" s="218"/>
      <c r="AP264" s="218"/>
      <c r="AQ264" s="218"/>
      <c r="AR264" s="62"/>
      <c r="AS264" s="149">
        <f>BK264</f>
      </c>
      <c r="AV264" s="155" t="s">
        <v>437</v>
      </c>
      <c r="AW264" s="155" t="s">
        <v>438</v>
      </c>
      <c r="AZ264" s="199" t="s">
        <v>410</v>
      </c>
      <c r="BA264" s="198" t="s">
        <v>353</v>
      </c>
      <c r="BB264" s="199" t="s">
        <v>410</v>
      </c>
      <c r="BC264" s="198" t="s">
        <v>353</v>
      </c>
      <c r="BD264" s="199" t="s">
        <v>410</v>
      </c>
      <c r="BE264" s="198" t="s">
        <v>353</v>
      </c>
      <c r="BF264" s="199" t="s">
        <v>410</v>
      </c>
      <c r="BG264" s="198" t="s">
        <v>353</v>
      </c>
      <c r="BH264" s="199" t="s">
        <v>410</v>
      </c>
      <c r="BI264" s="198" t="s">
        <v>353</v>
      </c>
      <c r="BJ264" s="159"/>
      <c r="BK264" s="221">
        <f>IF(BK263="表示","　　（↓エラー情報↓）","")</f>
      </c>
      <c r="BL264" s="155" t="s">
        <v>427</v>
      </c>
      <c r="BM264" s="155" t="s">
        <v>296</v>
      </c>
      <c r="BN264" s="155" t="s">
        <v>426</v>
      </c>
    </row>
    <row r="265" spans="5:66" ht="20.25" customHeight="1" thickBot="1">
      <c r="E265" s="204"/>
      <c r="F265" s="566"/>
      <c r="G265" s="567"/>
      <c r="H265" s="567"/>
      <c r="I265" s="567"/>
      <c r="J265" s="567"/>
      <c r="K265" s="567"/>
      <c r="L265" s="567"/>
      <c r="M265" s="567"/>
      <c r="N265" s="567"/>
      <c r="O265" s="567"/>
      <c r="P265" s="567"/>
      <c r="Q265" s="601"/>
      <c r="R265" s="598"/>
      <c r="S265" s="598"/>
      <c r="T265" s="598"/>
      <c r="U265" s="599"/>
      <c r="V265" s="598"/>
      <c r="W265" s="598"/>
      <c r="X265" s="598"/>
      <c r="Y265" s="598"/>
      <c r="Z265" s="598"/>
      <c r="AA265" s="598"/>
      <c r="AB265" s="598"/>
      <c r="AC265" s="598"/>
      <c r="AD265" s="599"/>
      <c r="AF265" s="63"/>
      <c r="AG265" s="63"/>
      <c r="AH265" s="63"/>
      <c r="AI265" s="63"/>
      <c r="AJ265" s="63"/>
      <c r="AK265" s="63"/>
      <c r="AL265" s="63"/>
      <c r="AM265" s="63"/>
      <c r="AN265" s="218"/>
      <c r="AO265" s="218"/>
      <c r="AP265" s="218"/>
      <c r="AQ265" s="218"/>
      <c r="AR265" s="62"/>
      <c r="AS265" s="149">
        <f>BK265</f>
      </c>
      <c r="AV265" s="242">
        <f>IF(Q265="-",0,Q265)</f>
        <v>0</v>
      </c>
      <c r="AW265" s="242">
        <f>IF(V265="-",0,V265)</f>
        <v>0</v>
      </c>
      <c r="AY265" s="151">
        <v>1</v>
      </c>
      <c r="AZ265" s="168" t="str">
        <f>CONCATENATE(IF(OR(Q265="",Q265="-"),"無","有"),IF(OR(V265="",V265="-"),"無","有"))</f>
        <v>無無</v>
      </c>
      <c r="BA265" s="169">
        <f>IF(ISNA(VLOOKUP(AZ265,AZ$75:BA$91,2,FALSE))=TRUE,"",VLOOKUP(AZ265,AZ$75:BA$91,2,FALSE))</f>
      </c>
      <c r="BB265" s="193" t="s">
        <v>276</v>
      </c>
      <c r="BC265" s="171"/>
      <c r="BD265" s="164" t="str">
        <f>IF(AZ265="有有",IF(AW265/AV265&gt;BL265,"高額","ok"),"-")</f>
        <v>-</v>
      </c>
      <c r="BE265" s="178">
        <f>IF(ISNA(VLOOKUP(BD265,BD$75:BE$91,2,FALSE))=TRUE,"",VLOOKUP(BD265,BD$75:BE$91,2,FALSE))</f>
      </c>
      <c r="BF265" s="193" t="s">
        <v>276</v>
      </c>
      <c r="BG265" s="176"/>
      <c r="BH265" s="164" t="str">
        <f>IF(AND(BG266=0,AZ265="有有"),IF(Q265&lt;=Q$108,IF(V265&lt;=Z$108,"正正","正大"),IF(V265&lt;=Z$108,"大正","大大")),"-")</f>
        <v>-</v>
      </c>
      <c r="BI265" s="178">
        <f>IF(ISNA(VLOOKUP(BH265,BH$75:BI$91,2,FALSE))=TRUE,"",VLOOKUP(BH265,BH$75:BI$91,2,FALSE))</f>
      </c>
      <c r="BJ265" s="251">
        <f>IF(AND(BA265="",BC265="",BE265="",BG265="",BI265=""),"","←")</f>
      </c>
      <c r="BK265" s="165">
        <f>IF(BK$263="表示",CONCATENATE(BJ265,BA265,BC265,BE265,BG265,BI265),"")</f>
      </c>
      <c r="BL265" s="225">
        <f>IF(Z$98="百万円",BM265,BN265)</f>
        <v>1000000000</v>
      </c>
      <c r="BM265" s="225">
        <v>1000000</v>
      </c>
      <c r="BN265" s="225">
        <v>1000000000</v>
      </c>
    </row>
    <row r="266" spans="5:63" ht="16.5" customHeight="1" thickBot="1">
      <c r="E266" s="148"/>
      <c r="F266" s="148"/>
      <c r="G266" s="148"/>
      <c r="H266" s="148"/>
      <c r="I266" s="148"/>
      <c r="J266" s="148"/>
      <c r="K266" s="148"/>
      <c r="L266" s="148"/>
      <c r="M266" s="148"/>
      <c r="N266" s="148"/>
      <c r="O266" s="148"/>
      <c r="P266" s="148"/>
      <c r="Q266" s="148"/>
      <c r="R266" s="148"/>
      <c r="S266" s="148"/>
      <c r="T266" s="148"/>
      <c r="U266" s="148"/>
      <c r="V266" s="148"/>
      <c r="W266" s="204"/>
      <c r="X266" s="148"/>
      <c r="Y266" s="148"/>
      <c r="Z266" s="148"/>
      <c r="AA266" s="148"/>
      <c r="AB266" s="148"/>
      <c r="AC266" s="148"/>
      <c r="AD266" s="148"/>
      <c r="AE266" s="12"/>
      <c r="AF266" s="12"/>
      <c r="AG266" s="12"/>
      <c r="AH266" s="12"/>
      <c r="AI266" s="12"/>
      <c r="AJ266" s="12"/>
      <c r="AK266" s="12"/>
      <c r="AL266" s="12"/>
      <c r="AM266" s="12"/>
      <c r="AN266" s="12"/>
      <c r="AO266" s="12"/>
      <c r="AP266" s="12"/>
      <c r="AQ266" s="12"/>
      <c r="AR266" s="62"/>
      <c r="AZ266" s="164">
        <f>COUNTIF(AZ265:AZ265,"無無")</f>
        <v>1</v>
      </c>
      <c r="BA266" s="182" t="str">
        <f>IF(AZ266=AY265,"｢該当なし」","")</f>
        <v>｢該当なし」</v>
      </c>
      <c r="BB266" s="153"/>
      <c r="BC266" s="153"/>
      <c r="BD266" s="153"/>
      <c r="BE266" s="153"/>
      <c r="BF266" s="181" t="s">
        <v>424</v>
      </c>
      <c r="BG266" s="164">
        <f>(4*AY265)-(COUNTIF(BA265:BA265,"")+COUNTIF(BC265:BC265,"")+COUNTIF(BE265:BE265,"")+COUNTIF(BG265:BG265,""))</f>
        <v>0</v>
      </c>
      <c r="BH266" s="153"/>
      <c r="BI266" s="153"/>
      <c r="BJ266" s="181" t="s">
        <v>425</v>
      </c>
      <c r="BK266" s="164">
        <f>AY265-COUNTIF(BJ265,"")</f>
        <v>0</v>
      </c>
    </row>
    <row r="267" spans="5:43" ht="16.5" customHeight="1">
      <c r="E267" s="204"/>
      <c r="F267" s="204" t="s">
        <v>55</v>
      </c>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row>
    <row r="268" spans="5:50" ht="17.25" customHeight="1">
      <c r="E268" s="204"/>
      <c r="F268" s="204"/>
      <c r="G268" s="357" t="s">
        <v>332</v>
      </c>
      <c r="H268" s="357"/>
      <c r="I268" s="357"/>
      <c r="J268" s="357"/>
      <c r="K268" s="357"/>
      <c r="L268" s="357"/>
      <c r="M268" s="357"/>
      <c r="N268" s="357"/>
      <c r="O268" s="357"/>
      <c r="P268" s="357"/>
      <c r="Q268" s="357"/>
      <c r="R268" s="357"/>
      <c r="S268" s="357"/>
      <c r="T268" s="357"/>
      <c r="U268" s="357"/>
      <c r="V268" s="357"/>
      <c r="W268" s="357"/>
      <c r="X268" s="357"/>
      <c r="Y268" s="357"/>
      <c r="Z268" s="357"/>
      <c r="AA268" s="357"/>
      <c r="AB268" s="357"/>
      <c r="AC268" s="357"/>
      <c r="AD268" s="357"/>
      <c r="AE268" s="357"/>
      <c r="AF268" s="357"/>
      <c r="AG268" s="357"/>
      <c r="AH268" s="357"/>
      <c r="AI268" s="357"/>
      <c r="AJ268" s="357"/>
      <c r="AK268" s="357"/>
      <c r="AL268" s="357"/>
      <c r="AM268" s="357"/>
      <c r="AN268" s="357"/>
      <c r="AO268" s="357"/>
      <c r="AP268" s="357"/>
      <c r="AQ268" s="357"/>
      <c r="AU268" s="194"/>
      <c r="AV268" s="194"/>
      <c r="AW268" s="194"/>
      <c r="AX268" s="194"/>
    </row>
    <row r="269" spans="5:50" ht="17.25" customHeight="1">
      <c r="E269" s="204"/>
      <c r="F269" s="204"/>
      <c r="G269" s="357"/>
      <c r="H269" s="357"/>
      <c r="I269" s="357"/>
      <c r="J269" s="357"/>
      <c r="K269" s="357"/>
      <c r="L269" s="357"/>
      <c r="M269" s="357"/>
      <c r="N269" s="357"/>
      <c r="O269" s="357"/>
      <c r="P269" s="357"/>
      <c r="Q269" s="357"/>
      <c r="R269" s="357"/>
      <c r="S269" s="357"/>
      <c r="T269" s="357"/>
      <c r="U269" s="357"/>
      <c r="V269" s="357"/>
      <c r="W269" s="357"/>
      <c r="X269" s="357"/>
      <c r="Y269" s="357"/>
      <c r="Z269" s="357"/>
      <c r="AA269" s="357"/>
      <c r="AB269" s="357"/>
      <c r="AC269" s="357"/>
      <c r="AD269" s="357"/>
      <c r="AE269" s="357"/>
      <c r="AF269" s="357"/>
      <c r="AG269" s="357"/>
      <c r="AH269" s="357"/>
      <c r="AI269" s="357"/>
      <c r="AJ269" s="357"/>
      <c r="AK269" s="357"/>
      <c r="AL269" s="357"/>
      <c r="AM269" s="357"/>
      <c r="AN269" s="357"/>
      <c r="AO269" s="357"/>
      <c r="AP269" s="357"/>
      <c r="AQ269" s="357"/>
      <c r="AU269" s="194"/>
      <c r="AV269" s="194"/>
      <c r="AW269" s="194"/>
      <c r="AX269" s="194"/>
    </row>
    <row r="270" spans="5:43" ht="17.25" customHeight="1">
      <c r="E270" s="204"/>
      <c r="F270" s="204"/>
      <c r="G270" s="357"/>
      <c r="H270" s="357"/>
      <c r="I270" s="357"/>
      <c r="J270" s="357"/>
      <c r="K270" s="357"/>
      <c r="L270" s="357"/>
      <c r="M270" s="357"/>
      <c r="N270" s="357"/>
      <c r="O270" s="357"/>
      <c r="P270" s="357"/>
      <c r="Q270" s="357"/>
      <c r="R270" s="357"/>
      <c r="S270" s="357"/>
      <c r="T270" s="357"/>
      <c r="U270" s="357"/>
      <c r="V270" s="357"/>
      <c r="W270" s="357"/>
      <c r="X270" s="357"/>
      <c r="Y270" s="357"/>
      <c r="Z270" s="357"/>
      <c r="AA270" s="357"/>
      <c r="AB270" s="357"/>
      <c r="AC270" s="357"/>
      <c r="AD270" s="357"/>
      <c r="AE270" s="357"/>
      <c r="AF270" s="357"/>
      <c r="AG270" s="357"/>
      <c r="AH270" s="357"/>
      <c r="AI270" s="357"/>
      <c r="AJ270" s="357"/>
      <c r="AK270" s="357"/>
      <c r="AL270" s="357"/>
      <c r="AM270" s="357"/>
      <c r="AN270" s="357"/>
      <c r="AO270" s="357"/>
      <c r="AP270" s="357"/>
      <c r="AQ270" s="357"/>
    </row>
    <row r="271" spans="5:43" ht="17.25" customHeight="1">
      <c r="E271" s="204"/>
      <c r="F271" s="204"/>
      <c r="G271" s="357" t="s">
        <v>333</v>
      </c>
      <c r="H271" s="357"/>
      <c r="I271" s="357"/>
      <c r="J271" s="357"/>
      <c r="K271" s="357"/>
      <c r="L271" s="357"/>
      <c r="M271" s="357"/>
      <c r="N271" s="357"/>
      <c r="O271" s="357"/>
      <c r="P271" s="357"/>
      <c r="Q271" s="357"/>
      <c r="R271" s="357"/>
      <c r="S271" s="357"/>
      <c r="T271" s="357"/>
      <c r="U271" s="357"/>
      <c r="V271" s="357"/>
      <c r="W271" s="357"/>
      <c r="X271" s="357"/>
      <c r="Y271" s="357"/>
      <c r="Z271" s="357"/>
      <c r="AA271" s="357"/>
      <c r="AB271" s="357"/>
      <c r="AC271" s="357"/>
      <c r="AD271" s="357"/>
      <c r="AE271" s="357"/>
      <c r="AF271" s="357"/>
      <c r="AG271" s="357"/>
      <c r="AH271" s="357"/>
      <c r="AI271" s="357"/>
      <c r="AJ271" s="357"/>
      <c r="AK271" s="357"/>
      <c r="AL271" s="357"/>
      <c r="AM271" s="357"/>
      <c r="AN271" s="357"/>
      <c r="AO271" s="357"/>
      <c r="AP271" s="357"/>
      <c r="AQ271" s="357"/>
    </row>
    <row r="272" spans="5:43" ht="17.25" customHeight="1">
      <c r="E272" s="204"/>
      <c r="F272" s="204"/>
      <c r="G272" s="357"/>
      <c r="H272" s="357"/>
      <c r="I272" s="357"/>
      <c r="J272" s="357"/>
      <c r="K272" s="357"/>
      <c r="L272" s="357"/>
      <c r="M272" s="357"/>
      <c r="N272" s="357"/>
      <c r="O272" s="357"/>
      <c r="P272" s="357"/>
      <c r="Q272" s="357"/>
      <c r="R272" s="357"/>
      <c r="S272" s="357"/>
      <c r="T272" s="357"/>
      <c r="U272" s="357"/>
      <c r="V272" s="357"/>
      <c r="W272" s="357"/>
      <c r="X272" s="357"/>
      <c r="Y272" s="357"/>
      <c r="Z272" s="357"/>
      <c r="AA272" s="357"/>
      <c r="AB272" s="357"/>
      <c r="AC272" s="357"/>
      <c r="AD272" s="357"/>
      <c r="AE272" s="357"/>
      <c r="AF272" s="357"/>
      <c r="AG272" s="357"/>
      <c r="AH272" s="357"/>
      <c r="AI272" s="357"/>
      <c r="AJ272" s="357"/>
      <c r="AK272" s="357"/>
      <c r="AL272" s="357"/>
      <c r="AM272" s="357"/>
      <c r="AN272" s="357"/>
      <c r="AO272" s="357"/>
      <c r="AP272" s="357"/>
      <c r="AQ272" s="357"/>
    </row>
    <row r="273" spans="5:43" ht="16.5" customHeight="1">
      <c r="E273" s="204"/>
      <c r="F273" s="204"/>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row>
    <row r="274" spans="5:43" ht="16.5" customHeight="1">
      <c r="E274" s="204"/>
      <c r="F274" s="204"/>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row>
    <row r="275" spans="5:43" ht="16.5" customHeight="1">
      <c r="E275" s="204"/>
      <c r="F275" s="204"/>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row>
    <row r="276" spans="5:44" ht="16.5" customHeight="1">
      <c r="E276" s="204"/>
      <c r="F276" s="204"/>
      <c r="G276" s="204"/>
      <c r="H276" s="20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204"/>
      <c r="AO276" s="204"/>
      <c r="AP276" s="204"/>
      <c r="AQ276" s="204"/>
      <c r="AR276" s="148"/>
    </row>
    <row r="277" spans="5:46" ht="16.5" customHeight="1">
      <c r="E277" s="204"/>
      <c r="F277" s="69" t="str">
        <f>IF(BK293=0,"８　消費者向無担保貸付金の金額別内訳","８．消費者向無担保貸付金の金額別内訳")</f>
        <v>８　消費者向無担保貸付金の金額別内訳</v>
      </c>
      <c r="G277" s="148"/>
      <c r="H277" s="148"/>
      <c r="I277" s="148"/>
      <c r="J277" s="148"/>
      <c r="K277" s="148"/>
      <c r="L277" s="148"/>
      <c r="M277" s="148"/>
      <c r="N277" s="148"/>
      <c r="O277" s="148"/>
      <c r="P277" s="148"/>
      <c r="Q277" s="148"/>
      <c r="R277" s="148"/>
      <c r="S277" s="148"/>
      <c r="T277" s="148"/>
      <c r="U277" s="148"/>
      <c r="V277" s="148"/>
      <c r="W277" s="148"/>
      <c r="X277" s="148"/>
      <c r="Y277" s="142"/>
      <c r="Z277" s="148"/>
      <c r="AA277" s="148"/>
      <c r="AB277" s="148"/>
      <c r="AC277" s="148"/>
      <c r="AD277" s="148"/>
      <c r="AE277" s="148"/>
      <c r="AF277" s="148"/>
      <c r="AG277" s="148"/>
      <c r="AH277" s="148"/>
      <c r="AI277" s="148"/>
      <c r="AJ277" s="148"/>
      <c r="AK277" s="148"/>
      <c r="AL277" s="148"/>
      <c r="AM277" s="148"/>
      <c r="AN277" s="148"/>
      <c r="AO277" s="204"/>
      <c r="AP277" s="204"/>
      <c r="AQ277" s="204"/>
      <c r="AR277" s="204"/>
      <c r="AT277" s="163" t="str">
        <f>IF(BK293=0,"（表8）エラーなし","！（表8）エラー情報あり")</f>
        <v>（表8）エラーなし</v>
      </c>
    </row>
    <row r="278" spans="5:44" ht="7.5" customHeight="1">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48"/>
      <c r="AO278" s="148"/>
      <c r="AP278" s="148"/>
      <c r="AQ278" s="148"/>
      <c r="AR278" s="148"/>
    </row>
    <row r="279" spans="5:44" ht="16.5" customHeight="1" thickBot="1">
      <c r="E279" s="148"/>
      <c r="F279" s="351" t="s">
        <v>291</v>
      </c>
      <c r="G279" s="352"/>
      <c r="H279" s="352"/>
      <c r="I279" s="352"/>
      <c r="J279" s="352"/>
      <c r="K279" s="352"/>
      <c r="L279" s="352"/>
      <c r="M279" s="352"/>
      <c r="N279" s="352"/>
      <c r="O279" s="352"/>
      <c r="P279" s="352"/>
      <c r="Q279" s="352"/>
      <c r="R279" s="479" t="s">
        <v>97</v>
      </c>
      <c r="S279" s="288"/>
      <c r="T279" s="288"/>
      <c r="U279" s="288"/>
      <c r="V279" s="288"/>
      <c r="W279" s="288"/>
      <c r="X279" s="288"/>
      <c r="Y279" s="288"/>
      <c r="Z279" s="289"/>
      <c r="AA279" s="289"/>
      <c r="AB279" s="289"/>
      <c r="AC279" s="289"/>
      <c r="AD279" s="290"/>
      <c r="AE279" s="287" t="s">
        <v>78</v>
      </c>
      <c r="AF279" s="288"/>
      <c r="AG279" s="288"/>
      <c r="AH279" s="288"/>
      <c r="AI279" s="288"/>
      <c r="AJ279" s="288"/>
      <c r="AK279" s="288"/>
      <c r="AL279" s="288"/>
      <c r="AM279" s="289"/>
      <c r="AN279" s="289"/>
      <c r="AO279" s="289"/>
      <c r="AP279" s="289"/>
      <c r="AQ279" s="290"/>
      <c r="AR279" s="148"/>
    </row>
    <row r="280" spans="5:63" ht="16.5" customHeight="1" thickBot="1" thickTop="1">
      <c r="E280" s="148"/>
      <c r="F280" s="354"/>
      <c r="G280" s="355"/>
      <c r="H280" s="355"/>
      <c r="I280" s="355"/>
      <c r="J280" s="355"/>
      <c r="K280" s="355"/>
      <c r="L280" s="355"/>
      <c r="M280" s="355"/>
      <c r="N280" s="355"/>
      <c r="O280" s="355"/>
      <c r="P280" s="355"/>
      <c r="Q280" s="355"/>
      <c r="R280" s="426"/>
      <c r="S280" s="427"/>
      <c r="T280" s="427"/>
      <c r="U280" s="427"/>
      <c r="V280" s="427"/>
      <c r="W280" s="427"/>
      <c r="X280" s="427"/>
      <c r="Y280" s="428"/>
      <c r="Z280" s="283" t="s">
        <v>79</v>
      </c>
      <c r="AA280" s="284"/>
      <c r="AB280" s="284"/>
      <c r="AC280" s="284"/>
      <c r="AD280" s="425"/>
      <c r="AE280" s="426"/>
      <c r="AF280" s="427"/>
      <c r="AG280" s="427"/>
      <c r="AH280" s="427"/>
      <c r="AI280" s="427"/>
      <c r="AJ280" s="427"/>
      <c r="AK280" s="427"/>
      <c r="AL280" s="428"/>
      <c r="AM280" s="283" t="s">
        <v>79</v>
      </c>
      <c r="AN280" s="284"/>
      <c r="AO280" s="284"/>
      <c r="AP280" s="284"/>
      <c r="AQ280" s="425"/>
      <c r="AR280" s="148"/>
      <c r="AZ280" s="277" t="s">
        <v>354</v>
      </c>
      <c r="BA280" s="277"/>
      <c r="BB280" s="277" t="s">
        <v>355</v>
      </c>
      <c r="BC280" s="277"/>
      <c r="BD280" s="277" t="s">
        <v>408</v>
      </c>
      <c r="BE280" s="277"/>
      <c r="BF280" s="277" t="s">
        <v>409</v>
      </c>
      <c r="BG280" s="277"/>
      <c r="BH280" s="277" t="s">
        <v>356</v>
      </c>
      <c r="BI280" s="277"/>
      <c r="BJ280" s="156"/>
      <c r="BK280" s="222" t="s">
        <v>439</v>
      </c>
    </row>
    <row r="281" spans="5:66" ht="16.5" customHeight="1" thickBot="1" thickTop="1">
      <c r="E281" s="148"/>
      <c r="F281" s="31"/>
      <c r="G281" s="32"/>
      <c r="H281" s="32"/>
      <c r="I281" s="32"/>
      <c r="J281" s="32"/>
      <c r="K281" s="32"/>
      <c r="L281" s="32"/>
      <c r="M281" s="32"/>
      <c r="N281" s="32"/>
      <c r="O281" s="32"/>
      <c r="P281" s="32"/>
      <c r="Q281" s="32"/>
      <c r="R281" s="568" t="s">
        <v>71</v>
      </c>
      <c r="S281" s="422"/>
      <c r="T281" s="422"/>
      <c r="U281" s="422"/>
      <c r="V281" s="422"/>
      <c r="W281" s="422"/>
      <c r="X281" s="422"/>
      <c r="Y281" s="423"/>
      <c r="Z281" s="466" t="s">
        <v>72</v>
      </c>
      <c r="AA281" s="422"/>
      <c r="AB281" s="422"/>
      <c r="AC281" s="422"/>
      <c r="AD281" s="467"/>
      <c r="AE281" s="306" t="str">
        <f>$X$393</f>
        <v>千円</v>
      </c>
      <c r="AF281" s="306"/>
      <c r="AG281" s="306"/>
      <c r="AH281" s="306"/>
      <c r="AI281" s="306"/>
      <c r="AJ281" s="306"/>
      <c r="AK281" s="306"/>
      <c r="AL281" s="307"/>
      <c r="AM281" s="466" t="s">
        <v>80</v>
      </c>
      <c r="AN281" s="422"/>
      <c r="AO281" s="422"/>
      <c r="AP281" s="422"/>
      <c r="AQ281" s="467"/>
      <c r="AR281" s="149"/>
      <c r="AS281" s="149">
        <f>BK281</f>
      </c>
      <c r="AV281" s="155" t="s">
        <v>437</v>
      </c>
      <c r="AW281" s="155" t="s">
        <v>438</v>
      </c>
      <c r="AZ281" s="199" t="s">
        <v>410</v>
      </c>
      <c r="BA281" s="198" t="s">
        <v>353</v>
      </c>
      <c r="BB281" s="199" t="s">
        <v>410</v>
      </c>
      <c r="BC281" s="198" t="s">
        <v>353</v>
      </c>
      <c r="BD281" s="199" t="s">
        <v>410</v>
      </c>
      <c r="BE281" s="198" t="s">
        <v>353</v>
      </c>
      <c r="BF281" s="199" t="s">
        <v>410</v>
      </c>
      <c r="BG281" s="198" t="s">
        <v>353</v>
      </c>
      <c r="BH281" s="199" t="s">
        <v>410</v>
      </c>
      <c r="BI281" s="198" t="s">
        <v>353</v>
      </c>
      <c r="BJ281" s="159"/>
      <c r="BK281" s="221">
        <f>IF(BK280="表示","　　（↓エラー情報↓）","")</f>
      </c>
      <c r="BL281" s="155" t="s">
        <v>427</v>
      </c>
      <c r="BM281" s="155" t="s">
        <v>296</v>
      </c>
      <c r="BN281" s="155" t="s">
        <v>426</v>
      </c>
    </row>
    <row r="282" spans="5:66" ht="16.5" customHeight="1">
      <c r="E282" s="148"/>
      <c r="F282" s="24"/>
      <c r="G282" s="215"/>
      <c r="H282" s="43" t="s">
        <v>98</v>
      </c>
      <c r="I282" s="215" t="s">
        <v>99</v>
      </c>
      <c r="J282" s="215"/>
      <c r="K282" s="215"/>
      <c r="L282" s="215"/>
      <c r="M282" s="215"/>
      <c r="N282" s="215"/>
      <c r="O282" s="215"/>
      <c r="P282" s="215"/>
      <c r="Q282" s="215"/>
      <c r="R282" s="569"/>
      <c r="S282" s="570"/>
      <c r="T282" s="570"/>
      <c r="U282" s="570"/>
      <c r="V282" s="570"/>
      <c r="W282" s="570"/>
      <c r="X282" s="570"/>
      <c r="Y282" s="571"/>
      <c r="Z282" s="297">
        <f>IF(OR(AV$292=0,AV282=0),0,ROUNDDOWN(R282/R$292,4)*100)</f>
        <v>0</v>
      </c>
      <c r="AA282" s="298"/>
      <c r="AB282" s="298"/>
      <c r="AC282" s="298"/>
      <c r="AD282" s="321"/>
      <c r="AE282" s="364"/>
      <c r="AF282" s="365"/>
      <c r="AG282" s="365"/>
      <c r="AH282" s="365"/>
      <c r="AI282" s="365"/>
      <c r="AJ282" s="365"/>
      <c r="AK282" s="365"/>
      <c r="AL282" s="366"/>
      <c r="AM282" s="406">
        <f>IF(OR(AW$292=0,AW282=0),0,ROUNDDOWN(AE282/AE$292,4)*100)</f>
        <v>0</v>
      </c>
      <c r="AN282" s="407"/>
      <c r="AO282" s="407"/>
      <c r="AP282" s="407"/>
      <c r="AQ282" s="408"/>
      <c r="AR282" s="149"/>
      <c r="AS282" s="149">
        <f>BK282</f>
      </c>
      <c r="AV282" s="231">
        <f>IF(R282="-",0,R282)</f>
        <v>0</v>
      </c>
      <c r="AW282" s="231">
        <f>IF(AE282="-",0,AE282)</f>
        <v>0</v>
      </c>
      <c r="AY282" s="167">
        <v>1</v>
      </c>
      <c r="AZ282" s="168" t="str">
        <f aca="true" t="shared" si="79" ref="AZ282:AZ292">CONCATENATE(IF(OR(R282="",R282="-"),"無","有"),IF(OR(AE282="",AE282="-"),"無","有"))</f>
        <v>無無</v>
      </c>
      <c r="BA282" s="169">
        <f aca="true" t="shared" si="80" ref="BA282:BA292">IF(ISNA(VLOOKUP(AZ282,AZ$75:BA$91,2,FALSE))=TRUE,"",VLOOKUP(AZ282,AZ$75:BA$91,2,FALSE))</f>
      </c>
      <c r="BB282" s="170" t="s">
        <v>276</v>
      </c>
      <c r="BC282" s="171"/>
      <c r="BD282" s="168" t="str">
        <f aca="true" t="shared" si="81" ref="BD282:BD292">IF(AZ282="有有",IF(AW282/AV282&gt;BL282,"高額","ok"),"-")</f>
        <v>-</v>
      </c>
      <c r="BE282" s="178">
        <f aca="true" t="shared" si="82" ref="BE282:BE292">IF(ISNA(VLOOKUP(BD282,BD$75:BE$91,2,FALSE))=TRUE,"",VLOOKUP(BD282,BD$75:BE$91,2,FALSE))</f>
      </c>
      <c r="BF282" s="170" t="s">
        <v>276</v>
      </c>
      <c r="BG282" s="176"/>
      <c r="BH282" s="170" t="s">
        <v>276</v>
      </c>
      <c r="BI282" s="171"/>
      <c r="BJ282" s="192">
        <f aca="true" t="shared" si="83" ref="BJ282:BJ292">IF(AND(BA282="",BC282="",BE282="",BG282="",BI282=""),"","←")</f>
      </c>
      <c r="BK282" s="174">
        <f>IF(BK$280="表示",CONCATENATE(BJ282,BA282,BC282,BE282,BG282,BI282),"")</f>
      </c>
      <c r="BL282" s="225">
        <f aca="true" t="shared" si="84" ref="BL282:BL292">IF(Z$98="百万円",BM282,BN282)</f>
        <v>100</v>
      </c>
      <c r="BM282" s="225">
        <v>0.1</v>
      </c>
      <c r="BN282" s="225">
        <v>100</v>
      </c>
    </row>
    <row r="283" spans="5:66" ht="16.5" customHeight="1">
      <c r="E283" s="148"/>
      <c r="F283" s="25"/>
      <c r="G283" s="203"/>
      <c r="H283" s="211" t="s">
        <v>100</v>
      </c>
      <c r="I283" s="203" t="s">
        <v>101</v>
      </c>
      <c r="J283" s="203"/>
      <c r="K283" s="203"/>
      <c r="L283" s="203"/>
      <c r="M283" s="211" t="s">
        <v>160</v>
      </c>
      <c r="N283" s="203" t="s">
        <v>99</v>
      </c>
      <c r="O283" s="203"/>
      <c r="P283" s="203"/>
      <c r="Q283" s="203"/>
      <c r="R283" s="340"/>
      <c r="S283" s="341"/>
      <c r="T283" s="341"/>
      <c r="U283" s="341"/>
      <c r="V283" s="341"/>
      <c r="W283" s="341"/>
      <c r="X283" s="341"/>
      <c r="Y283" s="342"/>
      <c r="Z283" s="297">
        <f aca="true" t="shared" si="85" ref="Z283:Z290">IF(OR(AV$292=0,AV283=0),0,ROUNDDOWN(R283/R$292,4)*100)</f>
        <v>0</v>
      </c>
      <c r="AA283" s="298"/>
      <c r="AB283" s="298"/>
      <c r="AC283" s="298"/>
      <c r="AD283" s="321"/>
      <c r="AE283" s="340"/>
      <c r="AF283" s="341"/>
      <c r="AG283" s="341"/>
      <c r="AH283" s="341"/>
      <c r="AI283" s="341"/>
      <c r="AJ283" s="341"/>
      <c r="AK283" s="341"/>
      <c r="AL283" s="342"/>
      <c r="AM283" s="406">
        <f aca="true" t="shared" si="86" ref="AM283:AM290">IF(OR(AW$292=0,AW283=0),0,ROUNDDOWN(AE283/AE$292,4)*100)</f>
        <v>0</v>
      </c>
      <c r="AN283" s="407"/>
      <c r="AO283" s="407"/>
      <c r="AP283" s="407"/>
      <c r="AQ283" s="408"/>
      <c r="AR283" s="149"/>
      <c r="AS283" s="149">
        <f aca="true" t="shared" si="87" ref="AS283:AS292">BK283</f>
      </c>
      <c r="AV283" s="232">
        <f aca="true" t="shared" si="88" ref="AV283:AV292">IF(R283="-",0,R283)</f>
        <v>0</v>
      </c>
      <c r="AW283" s="232">
        <f aca="true" t="shared" si="89" ref="AW283:AW292">IF(AE283="-",0,AE283)</f>
        <v>0</v>
      </c>
      <c r="AY283" s="167">
        <v>2</v>
      </c>
      <c r="AZ283" s="172" t="str">
        <f t="shared" si="79"/>
        <v>無無</v>
      </c>
      <c r="BA283" s="169">
        <f t="shared" si="80"/>
      </c>
      <c r="BB283" s="175" t="s">
        <v>276</v>
      </c>
      <c r="BC283" s="176"/>
      <c r="BD283" s="172" t="str">
        <f t="shared" si="81"/>
        <v>-</v>
      </c>
      <c r="BE283" s="178">
        <f t="shared" si="82"/>
      </c>
      <c r="BF283" s="175" t="s">
        <v>276</v>
      </c>
      <c r="BG283" s="176"/>
      <c r="BH283" s="175" t="s">
        <v>276</v>
      </c>
      <c r="BI283" s="176"/>
      <c r="BJ283" s="192">
        <f t="shared" si="83"/>
      </c>
      <c r="BK283" s="189">
        <f aca="true" t="shared" si="90" ref="BK283:BK292">IF(BK$280="表示",CONCATENATE(BJ283,BA283,BC283,BE283,BG283,BI283),"")</f>
      </c>
      <c r="BL283" s="225">
        <f t="shared" si="84"/>
        <v>200</v>
      </c>
      <c r="BM283" s="225">
        <v>0.2</v>
      </c>
      <c r="BN283" s="225">
        <v>200</v>
      </c>
    </row>
    <row r="284" spans="5:66" ht="16.5" customHeight="1">
      <c r="E284" s="148"/>
      <c r="F284" s="25"/>
      <c r="G284" s="203"/>
      <c r="H284" s="211" t="s">
        <v>160</v>
      </c>
      <c r="I284" s="285" t="s">
        <v>103</v>
      </c>
      <c r="J284" s="285"/>
      <c r="K284" s="203"/>
      <c r="L284" s="203"/>
      <c r="M284" s="211" t="s">
        <v>102</v>
      </c>
      <c r="N284" s="285" t="s">
        <v>105</v>
      </c>
      <c r="O284" s="285"/>
      <c r="P284" s="285"/>
      <c r="Q284" s="67"/>
      <c r="R284" s="340"/>
      <c r="S284" s="341"/>
      <c r="T284" s="341"/>
      <c r="U284" s="341"/>
      <c r="V284" s="341"/>
      <c r="W284" s="341"/>
      <c r="X284" s="341"/>
      <c r="Y284" s="342"/>
      <c r="Z284" s="297">
        <f t="shared" si="85"/>
        <v>0</v>
      </c>
      <c r="AA284" s="298"/>
      <c r="AB284" s="298"/>
      <c r="AC284" s="298"/>
      <c r="AD284" s="321"/>
      <c r="AE284" s="340"/>
      <c r="AF284" s="341"/>
      <c r="AG284" s="341"/>
      <c r="AH284" s="341"/>
      <c r="AI284" s="341"/>
      <c r="AJ284" s="341"/>
      <c r="AK284" s="341"/>
      <c r="AL284" s="342"/>
      <c r="AM284" s="406">
        <f t="shared" si="86"/>
        <v>0</v>
      </c>
      <c r="AN284" s="407"/>
      <c r="AO284" s="407"/>
      <c r="AP284" s="407"/>
      <c r="AQ284" s="408"/>
      <c r="AR284" s="149"/>
      <c r="AS284" s="149">
        <f t="shared" si="87"/>
      </c>
      <c r="AV284" s="232">
        <f t="shared" si="88"/>
        <v>0</v>
      </c>
      <c r="AW284" s="232">
        <f t="shared" si="89"/>
        <v>0</v>
      </c>
      <c r="AY284" s="167">
        <v>3</v>
      </c>
      <c r="AZ284" s="172" t="str">
        <f t="shared" si="79"/>
        <v>無無</v>
      </c>
      <c r="BA284" s="169">
        <f t="shared" si="80"/>
      </c>
      <c r="BB284" s="175" t="s">
        <v>276</v>
      </c>
      <c r="BC284" s="176"/>
      <c r="BD284" s="172" t="str">
        <f t="shared" si="81"/>
        <v>-</v>
      </c>
      <c r="BE284" s="178">
        <f t="shared" si="82"/>
      </c>
      <c r="BF284" s="175" t="s">
        <v>276</v>
      </c>
      <c r="BG284" s="176"/>
      <c r="BH284" s="175" t="s">
        <v>276</v>
      </c>
      <c r="BI284" s="176"/>
      <c r="BJ284" s="192">
        <f t="shared" si="83"/>
      </c>
      <c r="BK284" s="189">
        <f t="shared" si="90"/>
      </c>
      <c r="BL284" s="225">
        <f t="shared" si="84"/>
        <v>300</v>
      </c>
      <c r="BM284" s="225">
        <v>0.3</v>
      </c>
      <c r="BN284" s="225">
        <v>300</v>
      </c>
    </row>
    <row r="285" spans="5:66" ht="16.5" customHeight="1">
      <c r="E285" s="148"/>
      <c r="F285" s="25"/>
      <c r="G285" s="203"/>
      <c r="H285" s="211" t="s">
        <v>102</v>
      </c>
      <c r="I285" s="285" t="s">
        <v>103</v>
      </c>
      <c r="J285" s="285"/>
      <c r="K285" s="203"/>
      <c r="L285" s="203"/>
      <c r="M285" s="211" t="s">
        <v>104</v>
      </c>
      <c r="N285" s="285" t="s">
        <v>105</v>
      </c>
      <c r="O285" s="285"/>
      <c r="P285" s="285"/>
      <c r="Q285" s="203"/>
      <c r="R285" s="340"/>
      <c r="S285" s="341"/>
      <c r="T285" s="341"/>
      <c r="U285" s="341"/>
      <c r="V285" s="341"/>
      <c r="W285" s="341"/>
      <c r="X285" s="341"/>
      <c r="Y285" s="342"/>
      <c r="Z285" s="297">
        <f t="shared" si="85"/>
        <v>0</v>
      </c>
      <c r="AA285" s="298"/>
      <c r="AB285" s="298"/>
      <c r="AC285" s="298"/>
      <c r="AD285" s="321"/>
      <c r="AE285" s="340"/>
      <c r="AF285" s="341"/>
      <c r="AG285" s="341"/>
      <c r="AH285" s="341"/>
      <c r="AI285" s="341"/>
      <c r="AJ285" s="341"/>
      <c r="AK285" s="341"/>
      <c r="AL285" s="342"/>
      <c r="AM285" s="406">
        <f t="shared" si="86"/>
        <v>0</v>
      </c>
      <c r="AN285" s="407"/>
      <c r="AO285" s="407"/>
      <c r="AP285" s="407"/>
      <c r="AQ285" s="408"/>
      <c r="AR285" s="149"/>
      <c r="AS285" s="149">
        <f t="shared" si="87"/>
      </c>
      <c r="AV285" s="232">
        <f t="shared" si="88"/>
        <v>0</v>
      </c>
      <c r="AW285" s="232">
        <f t="shared" si="89"/>
        <v>0</v>
      </c>
      <c r="AY285" s="167">
        <v>4</v>
      </c>
      <c r="AZ285" s="172" t="str">
        <f t="shared" si="79"/>
        <v>無無</v>
      </c>
      <c r="BA285" s="169">
        <f t="shared" si="80"/>
      </c>
      <c r="BB285" s="175" t="s">
        <v>276</v>
      </c>
      <c r="BC285" s="176"/>
      <c r="BD285" s="172" t="str">
        <f t="shared" si="81"/>
        <v>-</v>
      </c>
      <c r="BE285" s="178">
        <f t="shared" si="82"/>
      </c>
      <c r="BF285" s="175" t="s">
        <v>276</v>
      </c>
      <c r="BG285" s="176"/>
      <c r="BH285" s="175" t="s">
        <v>276</v>
      </c>
      <c r="BI285" s="176"/>
      <c r="BJ285" s="192">
        <f t="shared" si="83"/>
      </c>
      <c r="BK285" s="189">
        <f t="shared" si="90"/>
      </c>
      <c r="BL285" s="225">
        <f t="shared" si="84"/>
        <v>500</v>
      </c>
      <c r="BM285" s="225">
        <v>0.5</v>
      </c>
      <c r="BN285" s="225">
        <v>500</v>
      </c>
    </row>
    <row r="286" spans="5:66" ht="16.5" customHeight="1">
      <c r="E286" s="148"/>
      <c r="F286" s="25"/>
      <c r="G286" s="211"/>
      <c r="H286" s="211" t="s">
        <v>104</v>
      </c>
      <c r="I286" s="285" t="s">
        <v>103</v>
      </c>
      <c r="J286" s="285"/>
      <c r="K286" s="203"/>
      <c r="L286" s="211"/>
      <c r="M286" s="211" t="s">
        <v>161</v>
      </c>
      <c r="N286" s="285" t="s">
        <v>105</v>
      </c>
      <c r="O286" s="285"/>
      <c r="P286" s="285"/>
      <c r="Q286" s="203"/>
      <c r="R286" s="340"/>
      <c r="S286" s="341"/>
      <c r="T286" s="341"/>
      <c r="U286" s="341"/>
      <c r="V286" s="341"/>
      <c r="W286" s="341"/>
      <c r="X286" s="341"/>
      <c r="Y286" s="342"/>
      <c r="Z286" s="297">
        <f t="shared" si="85"/>
        <v>0</v>
      </c>
      <c r="AA286" s="298"/>
      <c r="AB286" s="298"/>
      <c r="AC286" s="298"/>
      <c r="AD286" s="321"/>
      <c r="AE286" s="340"/>
      <c r="AF286" s="341"/>
      <c r="AG286" s="341"/>
      <c r="AH286" s="341"/>
      <c r="AI286" s="341"/>
      <c r="AJ286" s="341"/>
      <c r="AK286" s="341"/>
      <c r="AL286" s="342"/>
      <c r="AM286" s="406">
        <f t="shared" si="86"/>
        <v>0</v>
      </c>
      <c r="AN286" s="407"/>
      <c r="AO286" s="407"/>
      <c r="AP286" s="407"/>
      <c r="AQ286" s="408"/>
      <c r="AR286" s="149"/>
      <c r="AS286" s="149">
        <f t="shared" si="87"/>
      </c>
      <c r="AV286" s="232">
        <f t="shared" si="88"/>
        <v>0</v>
      </c>
      <c r="AW286" s="232">
        <f t="shared" si="89"/>
        <v>0</v>
      </c>
      <c r="AY286" s="167">
        <v>5</v>
      </c>
      <c r="AZ286" s="172" t="str">
        <f t="shared" si="79"/>
        <v>無無</v>
      </c>
      <c r="BA286" s="169">
        <f t="shared" si="80"/>
      </c>
      <c r="BB286" s="175" t="s">
        <v>276</v>
      </c>
      <c r="BC286" s="176"/>
      <c r="BD286" s="172" t="str">
        <f t="shared" si="81"/>
        <v>-</v>
      </c>
      <c r="BE286" s="178">
        <f t="shared" si="82"/>
      </c>
      <c r="BF286" s="175" t="s">
        <v>276</v>
      </c>
      <c r="BG286" s="176"/>
      <c r="BH286" s="175" t="s">
        <v>276</v>
      </c>
      <c r="BI286" s="176"/>
      <c r="BJ286" s="192">
        <f t="shared" si="83"/>
      </c>
      <c r="BK286" s="189">
        <f t="shared" si="90"/>
      </c>
      <c r="BL286" s="225">
        <f t="shared" si="84"/>
        <v>700</v>
      </c>
      <c r="BM286" s="225">
        <v>0.7</v>
      </c>
      <c r="BN286" s="225">
        <v>700</v>
      </c>
    </row>
    <row r="287" spans="5:66" ht="16.5" customHeight="1">
      <c r="E287" s="148"/>
      <c r="F287" s="25"/>
      <c r="G287" s="203"/>
      <c r="H287" s="211" t="s">
        <v>161</v>
      </c>
      <c r="I287" s="285" t="s">
        <v>103</v>
      </c>
      <c r="J287" s="285"/>
      <c r="K287" s="203"/>
      <c r="L287" s="203"/>
      <c r="M287" s="211" t="s">
        <v>106</v>
      </c>
      <c r="N287" s="285" t="s">
        <v>105</v>
      </c>
      <c r="O287" s="285"/>
      <c r="P287" s="285"/>
      <c r="Q287" s="203"/>
      <c r="R287" s="340"/>
      <c r="S287" s="341"/>
      <c r="T287" s="341"/>
      <c r="U287" s="341"/>
      <c r="V287" s="341"/>
      <c r="W287" s="341"/>
      <c r="X287" s="341"/>
      <c r="Y287" s="342"/>
      <c r="Z287" s="297">
        <f t="shared" si="85"/>
        <v>0</v>
      </c>
      <c r="AA287" s="298"/>
      <c r="AB287" s="298"/>
      <c r="AC287" s="298"/>
      <c r="AD287" s="321"/>
      <c r="AE287" s="340"/>
      <c r="AF287" s="341"/>
      <c r="AG287" s="341"/>
      <c r="AH287" s="341"/>
      <c r="AI287" s="341"/>
      <c r="AJ287" s="341"/>
      <c r="AK287" s="341"/>
      <c r="AL287" s="342"/>
      <c r="AM287" s="406">
        <f t="shared" si="86"/>
        <v>0</v>
      </c>
      <c r="AN287" s="407"/>
      <c r="AO287" s="407"/>
      <c r="AP287" s="407"/>
      <c r="AQ287" s="408"/>
      <c r="AR287" s="149"/>
      <c r="AS287" s="149">
        <f t="shared" si="87"/>
      </c>
      <c r="AV287" s="232">
        <f t="shared" si="88"/>
        <v>0</v>
      </c>
      <c r="AW287" s="232">
        <f t="shared" si="89"/>
        <v>0</v>
      </c>
      <c r="AY287" s="167">
        <v>6</v>
      </c>
      <c r="AZ287" s="172" t="str">
        <f t="shared" si="79"/>
        <v>無無</v>
      </c>
      <c r="BA287" s="169">
        <f t="shared" si="80"/>
      </c>
      <c r="BB287" s="175" t="s">
        <v>276</v>
      </c>
      <c r="BC287" s="176"/>
      <c r="BD287" s="172" t="str">
        <f t="shared" si="81"/>
        <v>-</v>
      </c>
      <c r="BE287" s="178">
        <f t="shared" si="82"/>
      </c>
      <c r="BF287" s="175" t="s">
        <v>276</v>
      </c>
      <c r="BG287" s="176"/>
      <c r="BH287" s="175" t="s">
        <v>276</v>
      </c>
      <c r="BI287" s="176"/>
      <c r="BJ287" s="192">
        <f t="shared" si="83"/>
      </c>
      <c r="BK287" s="189">
        <f t="shared" si="90"/>
      </c>
      <c r="BL287" s="225">
        <f t="shared" si="84"/>
        <v>1000</v>
      </c>
      <c r="BM287" s="225">
        <v>1</v>
      </c>
      <c r="BN287" s="225">
        <v>1000</v>
      </c>
    </row>
    <row r="288" spans="5:66" ht="16.5" customHeight="1">
      <c r="E288" s="204"/>
      <c r="F288" s="25"/>
      <c r="G288" s="203"/>
      <c r="H288" s="211" t="s">
        <v>106</v>
      </c>
      <c r="I288" s="285" t="s">
        <v>103</v>
      </c>
      <c r="J288" s="285"/>
      <c r="K288" s="203"/>
      <c r="L288" s="203"/>
      <c r="M288" s="211" t="s">
        <v>162</v>
      </c>
      <c r="N288" s="285" t="s">
        <v>105</v>
      </c>
      <c r="O288" s="285"/>
      <c r="P288" s="285"/>
      <c r="Q288" s="203"/>
      <c r="R288" s="340"/>
      <c r="S288" s="341"/>
      <c r="T288" s="341"/>
      <c r="U288" s="341"/>
      <c r="V288" s="341"/>
      <c r="W288" s="341"/>
      <c r="X288" s="341"/>
      <c r="Y288" s="342"/>
      <c r="Z288" s="297">
        <f t="shared" si="85"/>
        <v>0</v>
      </c>
      <c r="AA288" s="298"/>
      <c r="AB288" s="298"/>
      <c r="AC288" s="298"/>
      <c r="AD288" s="321"/>
      <c r="AE288" s="340"/>
      <c r="AF288" s="341"/>
      <c r="AG288" s="341"/>
      <c r="AH288" s="341"/>
      <c r="AI288" s="341"/>
      <c r="AJ288" s="341"/>
      <c r="AK288" s="341"/>
      <c r="AL288" s="342"/>
      <c r="AM288" s="406">
        <f t="shared" si="86"/>
        <v>0</v>
      </c>
      <c r="AN288" s="407"/>
      <c r="AO288" s="407"/>
      <c r="AP288" s="407"/>
      <c r="AQ288" s="408"/>
      <c r="AR288" s="149"/>
      <c r="AS288" s="149">
        <f t="shared" si="87"/>
      </c>
      <c r="AV288" s="232">
        <f t="shared" si="88"/>
        <v>0</v>
      </c>
      <c r="AW288" s="232">
        <f t="shared" si="89"/>
        <v>0</v>
      </c>
      <c r="AY288" s="167">
        <v>7</v>
      </c>
      <c r="AZ288" s="172" t="str">
        <f t="shared" si="79"/>
        <v>無無</v>
      </c>
      <c r="BA288" s="169">
        <f t="shared" si="80"/>
      </c>
      <c r="BB288" s="175" t="s">
        <v>276</v>
      </c>
      <c r="BC288" s="176"/>
      <c r="BD288" s="172" t="str">
        <f t="shared" si="81"/>
        <v>-</v>
      </c>
      <c r="BE288" s="178">
        <f t="shared" si="82"/>
      </c>
      <c r="BF288" s="175" t="s">
        <v>276</v>
      </c>
      <c r="BG288" s="176"/>
      <c r="BH288" s="175" t="s">
        <v>276</v>
      </c>
      <c r="BI288" s="176"/>
      <c r="BJ288" s="192">
        <f t="shared" si="83"/>
      </c>
      <c r="BK288" s="189">
        <f t="shared" si="90"/>
      </c>
      <c r="BL288" s="225">
        <f t="shared" si="84"/>
        <v>1500</v>
      </c>
      <c r="BM288" s="225">
        <v>1.5</v>
      </c>
      <c r="BN288" s="225">
        <v>1500</v>
      </c>
    </row>
    <row r="289" spans="5:66" ht="16.5" customHeight="1">
      <c r="E289" s="204"/>
      <c r="F289" s="25"/>
      <c r="G289" s="203"/>
      <c r="H289" s="211" t="s">
        <v>162</v>
      </c>
      <c r="I289" s="285" t="s">
        <v>103</v>
      </c>
      <c r="J289" s="285"/>
      <c r="K289" s="203"/>
      <c r="L289" s="203"/>
      <c r="M289" s="211" t="s">
        <v>163</v>
      </c>
      <c r="N289" s="285" t="s">
        <v>105</v>
      </c>
      <c r="O289" s="285"/>
      <c r="P289" s="285"/>
      <c r="Q289" s="203"/>
      <c r="R289" s="340"/>
      <c r="S289" s="341"/>
      <c r="T289" s="341"/>
      <c r="U289" s="341"/>
      <c r="V289" s="341"/>
      <c r="W289" s="341"/>
      <c r="X289" s="341"/>
      <c r="Y289" s="342"/>
      <c r="Z289" s="297">
        <f t="shared" si="85"/>
        <v>0</v>
      </c>
      <c r="AA289" s="298"/>
      <c r="AB289" s="298"/>
      <c r="AC289" s="298"/>
      <c r="AD289" s="321"/>
      <c r="AE289" s="340"/>
      <c r="AF289" s="341"/>
      <c r="AG289" s="341"/>
      <c r="AH289" s="341"/>
      <c r="AI289" s="341"/>
      <c r="AJ289" s="341"/>
      <c r="AK289" s="341"/>
      <c r="AL289" s="342"/>
      <c r="AM289" s="406">
        <f t="shared" si="86"/>
        <v>0</v>
      </c>
      <c r="AN289" s="407"/>
      <c r="AO289" s="407"/>
      <c r="AP289" s="407"/>
      <c r="AQ289" s="408"/>
      <c r="AR289" s="149"/>
      <c r="AS289" s="149">
        <f t="shared" si="87"/>
      </c>
      <c r="AV289" s="232">
        <f t="shared" si="88"/>
        <v>0</v>
      </c>
      <c r="AW289" s="232">
        <f t="shared" si="89"/>
        <v>0</v>
      </c>
      <c r="AY289" s="167">
        <v>8</v>
      </c>
      <c r="AZ289" s="172" t="str">
        <f t="shared" si="79"/>
        <v>無無</v>
      </c>
      <c r="BA289" s="169">
        <f t="shared" si="80"/>
      </c>
      <c r="BB289" s="175" t="s">
        <v>276</v>
      </c>
      <c r="BC289" s="176"/>
      <c r="BD289" s="172" t="str">
        <f t="shared" si="81"/>
        <v>-</v>
      </c>
      <c r="BE289" s="178">
        <f t="shared" si="82"/>
      </c>
      <c r="BF289" s="175" t="s">
        <v>276</v>
      </c>
      <c r="BG289" s="176"/>
      <c r="BH289" s="175" t="s">
        <v>276</v>
      </c>
      <c r="BI289" s="176"/>
      <c r="BJ289" s="192">
        <f t="shared" si="83"/>
      </c>
      <c r="BK289" s="189">
        <f t="shared" si="90"/>
      </c>
      <c r="BL289" s="225">
        <f t="shared" si="84"/>
        <v>2000</v>
      </c>
      <c r="BM289" s="225">
        <v>2</v>
      </c>
      <c r="BN289" s="225">
        <v>2000</v>
      </c>
    </row>
    <row r="290" spans="5:66" ht="16.5" customHeight="1">
      <c r="E290" s="204"/>
      <c r="F290" s="25"/>
      <c r="G290" s="203"/>
      <c r="H290" s="211" t="s">
        <v>163</v>
      </c>
      <c r="I290" s="285" t="s">
        <v>103</v>
      </c>
      <c r="J290" s="285"/>
      <c r="K290" s="203"/>
      <c r="L290" s="203"/>
      <c r="M290" s="211" t="s">
        <v>164</v>
      </c>
      <c r="N290" s="285" t="s">
        <v>105</v>
      </c>
      <c r="O290" s="285"/>
      <c r="P290" s="285"/>
      <c r="Q290" s="203"/>
      <c r="R290" s="340"/>
      <c r="S290" s="341"/>
      <c r="T290" s="341"/>
      <c r="U290" s="341"/>
      <c r="V290" s="341"/>
      <c r="W290" s="341"/>
      <c r="X290" s="341"/>
      <c r="Y290" s="342"/>
      <c r="Z290" s="297">
        <f t="shared" si="85"/>
        <v>0</v>
      </c>
      <c r="AA290" s="298"/>
      <c r="AB290" s="298"/>
      <c r="AC290" s="298"/>
      <c r="AD290" s="321"/>
      <c r="AE290" s="340"/>
      <c r="AF290" s="341"/>
      <c r="AG290" s="341"/>
      <c r="AH290" s="341"/>
      <c r="AI290" s="341"/>
      <c r="AJ290" s="341"/>
      <c r="AK290" s="341"/>
      <c r="AL290" s="342"/>
      <c r="AM290" s="406">
        <f t="shared" si="86"/>
        <v>0</v>
      </c>
      <c r="AN290" s="407"/>
      <c r="AO290" s="407"/>
      <c r="AP290" s="407"/>
      <c r="AQ290" s="408"/>
      <c r="AR290" s="149"/>
      <c r="AS290" s="149">
        <f t="shared" si="87"/>
      </c>
      <c r="AV290" s="232">
        <f t="shared" si="88"/>
        <v>0</v>
      </c>
      <c r="AW290" s="232">
        <f t="shared" si="89"/>
        <v>0</v>
      </c>
      <c r="AY290" s="167">
        <v>9</v>
      </c>
      <c r="AZ290" s="172" t="str">
        <f t="shared" si="79"/>
        <v>無無</v>
      </c>
      <c r="BA290" s="169">
        <f t="shared" si="80"/>
      </c>
      <c r="BB290" s="175" t="s">
        <v>276</v>
      </c>
      <c r="BC290" s="176"/>
      <c r="BD290" s="172" t="str">
        <f t="shared" si="81"/>
        <v>-</v>
      </c>
      <c r="BE290" s="178">
        <f t="shared" si="82"/>
      </c>
      <c r="BF290" s="175" t="s">
        <v>276</v>
      </c>
      <c r="BG290" s="176"/>
      <c r="BH290" s="175" t="s">
        <v>276</v>
      </c>
      <c r="BI290" s="176"/>
      <c r="BJ290" s="192">
        <f t="shared" si="83"/>
      </c>
      <c r="BK290" s="189">
        <f t="shared" si="90"/>
      </c>
      <c r="BL290" s="225">
        <f t="shared" si="84"/>
        <v>3000</v>
      </c>
      <c r="BM290" s="225">
        <v>3</v>
      </c>
      <c r="BN290" s="225">
        <v>3000</v>
      </c>
    </row>
    <row r="291" spans="5:66" ht="16.5" customHeight="1">
      <c r="E291" s="204"/>
      <c r="F291" s="523" t="s">
        <v>165</v>
      </c>
      <c r="G291" s="292"/>
      <c r="H291" s="292"/>
      <c r="I291" s="292"/>
      <c r="J291" s="292"/>
      <c r="K291" s="292"/>
      <c r="L291" s="292"/>
      <c r="M291" s="292"/>
      <c r="N291" s="292"/>
      <c r="O291" s="292"/>
      <c r="P291" s="292"/>
      <c r="Q291" s="292"/>
      <c r="R291" s="412"/>
      <c r="S291" s="413"/>
      <c r="T291" s="413"/>
      <c r="U291" s="413"/>
      <c r="V291" s="413"/>
      <c r="W291" s="413"/>
      <c r="X291" s="413"/>
      <c r="Y291" s="414"/>
      <c r="Z291" s="297">
        <f>IF(OR(AV$292=0,AV291=0),0,ROUNDDOWN(R291/R$292,4)*100)</f>
        <v>0</v>
      </c>
      <c r="AA291" s="298"/>
      <c r="AB291" s="298"/>
      <c r="AC291" s="298"/>
      <c r="AD291" s="321"/>
      <c r="AE291" s="419"/>
      <c r="AF291" s="420"/>
      <c r="AG291" s="420"/>
      <c r="AH291" s="420"/>
      <c r="AI291" s="420"/>
      <c r="AJ291" s="420"/>
      <c r="AK291" s="420"/>
      <c r="AL291" s="421"/>
      <c r="AM291" s="406">
        <f>IF(OR(AW$292=0,AW291=0),0,ROUNDDOWN(AE291/AE$292,4)*100)</f>
        <v>0</v>
      </c>
      <c r="AN291" s="407"/>
      <c r="AO291" s="407"/>
      <c r="AP291" s="407"/>
      <c r="AQ291" s="408"/>
      <c r="AR291" s="149"/>
      <c r="AS291" s="149">
        <f t="shared" si="87"/>
      </c>
      <c r="AV291" s="233">
        <f t="shared" si="88"/>
        <v>0</v>
      </c>
      <c r="AW291" s="233">
        <f t="shared" si="89"/>
        <v>0</v>
      </c>
      <c r="AY291" s="167">
        <v>10</v>
      </c>
      <c r="AZ291" s="172" t="str">
        <f t="shared" si="79"/>
        <v>無無</v>
      </c>
      <c r="BA291" s="169">
        <f t="shared" si="80"/>
      </c>
      <c r="BB291" s="175" t="s">
        <v>276</v>
      </c>
      <c r="BC291" s="176"/>
      <c r="BD291" s="172" t="str">
        <f t="shared" si="81"/>
        <v>-</v>
      </c>
      <c r="BE291" s="178">
        <f t="shared" si="82"/>
      </c>
      <c r="BF291" s="175" t="s">
        <v>276</v>
      </c>
      <c r="BG291" s="176"/>
      <c r="BH291" s="175" t="s">
        <v>276</v>
      </c>
      <c r="BI291" s="176"/>
      <c r="BJ291" s="192">
        <f t="shared" si="83"/>
      </c>
      <c r="BK291" s="189">
        <f t="shared" si="90"/>
      </c>
      <c r="BL291" s="225">
        <f t="shared" si="84"/>
        <v>1000000000</v>
      </c>
      <c r="BM291" s="225">
        <v>1000000</v>
      </c>
      <c r="BN291" s="225">
        <v>1000000000</v>
      </c>
    </row>
    <row r="292" spans="5:66" ht="16.5" customHeight="1" thickBot="1">
      <c r="E292" s="204"/>
      <c r="F292" s="28"/>
      <c r="G292" s="29"/>
      <c r="H292" s="36"/>
      <c r="I292" s="401" t="s">
        <v>115</v>
      </c>
      <c r="J292" s="401"/>
      <c r="K292" s="401"/>
      <c r="L292" s="401"/>
      <c r="M292" s="401"/>
      <c r="N292" s="401"/>
      <c r="O292" s="29"/>
      <c r="P292" s="29"/>
      <c r="Q292" s="29"/>
      <c r="R292" s="348" t="str">
        <f>Q99</f>
        <v>-</v>
      </c>
      <c r="S292" s="349"/>
      <c r="T292" s="349"/>
      <c r="U292" s="349"/>
      <c r="V292" s="349"/>
      <c r="W292" s="349"/>
      <c r="X292" s="349"/>
      <c r="Y292" s="350"/>
      <c r="Z292" s="312">
        <v>100</v>
      </c>
      <c r="AA292" s="312"/>
      <c r="AB292" s="312"/>
      <c r="AC292" s="312"/>
      <c r="AD292" s="312"/>
      <c r="AE292" s="348" t="str">
        <f>Z99</f>
        <v>-</v>
      </c>
      <c r="AF292" s="349"/>
      <c r="AG292" s="349"/>
      <c r="AH292" s="349"/>
      <c r="AI292" s="349"/>
      <c r="AJ292" s="349"/>
      <c r="AK292" s="349"/>
      <c r="AL292" s="350"/>
      <c r="AM292" s="312">
        <v>100</v>
      </c>
      <c r="AN292" s="312"/>
      <c r="AO292" s="312"/>
      <c r="AP292" s="312"/>
      <c r="AQ292" s="526"/>
      <c r="AR292" s="149"/>
      <c r="AS292" s="149">
        <f t="shared" si="87"/>
      </c>
      <c r="AV292" s="241">
        <f t="shared" si="88"/>
        <v>0</v>
      </c>
      <c r="AW292" s="241">
        <f t="shared" si="89"/>
        <v>0</v>
      </c>
      <c r="AY292" s="167">
        <v>11</v>
      </c>
      <c r="AZ292" s="179" t="str">
        <f t="shared" si="79"/>
        <v>無無</v>
      </c>
      <c r="BA292" s="169">
        <f t="shared" si="80"/>
      </c>
      <c r="BB292" s="179" t="str">
        <f>CONCATENATE(IF(AV292=SUM(AV282:AV291),"合","不"),IF(AND(SUM(AW282:AW291)&lt;=AW292,AW292&lt;=(SUM(AW282:AW291)+10)),"合","不"))</f>
        <v>合合</v>
      </c>
      <c r="BC292" s="178">
        <f>IF(ISNA(VLOOKUP(BB292,BB$75:BC$91,2,FALSE))=TRUE,"",VLOOKUP(BB292,BB$75:BC$91,2,FALSE))</f>
      </c>
      <c r="BD292" s="179" t="str">
        <f t="shared" si="81"/>
        <v>-</v>
      </c>
      <c r="BE292" s="178">
        <f t="shared" si="82"/>
      </c>
      <c r="BF292" s="180" t="s">
        <v>276</v>
      </c>
      <c r="BG292" s="176"/>
      <c r="BH292" s="179" t="str">
        <f>IF(BG293=0,IF(R292=Q$99,IF(AE292=Z$99,"正正消","正誤消"),IF(AE292=Z$99,"誤正消","誤誤消")),"-")</f>
        <v>正正消</v>
      </c>
      <c r="BI292" s="178">
        <f>IF(ISNA(VLOOKUP(BH292,BH$75:BI$91,2,FALSE))=TRUE,"",VLOOKUP(BH292,BH$75:BI$91,2,FALSE))</f>
      </c>
      <c r="BJ292" s="192">
        <f t="shared" si="83"/>
      </c>
      <c r="BK292" s="220">
        <f t="shared" si="90"/>
      </c>
      <c r="BL292" s="225">
        <f t="shared" si="84"/>
        <v>1000000000</v>
      </c>
      <c r="BM292" s="225">
        <v>1000000</v>
      </c>
      <c r="BN292" s="225">
        <v>1000000000</v>
      </c>
    </row>
    <row r="293" spans="5:63" ht="16.5" customHeight="1" thickBot="1">
      <c r="E293" s="204"/>
      <c r="F293" s="281" t="s">
        <v>166</v>
      </c>
      <c r="G293" s="282"/>
      <c r="H293" s="282"/>
      <c r="I293" s="282"/>
      <c r="J293" s="282"/>
      <c r="K293" s="282"/>
      <c r="L293" s="282"/>
      <c r="M293" s="282"/>
      <c r="N293" s="282"/>
      <c r="O293" s="282"/>
      <c r="P293" s="282"/>
      <c r="Q293" s="282"/>
      <c r="R293" s="301"/>
      <c r="S293" s="301"/>
      <c r="T293" s="301"/>
      <c r="U293" s="301"/>
      <c r="V293" s="301"/>
      <c r="W293" s="301"/>
      <c r="X293" s="301"/>
      <c r="Y293" s="301"/>
      <c r="Z293" s="282"/>
      <c r="AA293" s="282"/>
      <c r="AB293" s="282"/>
      <c r="AC293" s="282"/>
      <c r="AD293" s="424"/>
      <c r="AE293" s="524">
        <f>IF(AV292=0,"",IF(AE281="百万円",ROUNDDOWN(AE292/R292*1000,0),ROUNDDOWN(AE292/R292,0)))</f>
      </c>
      <c r="AF293" s="525"/>
      <c r="AG293" s="525"/>
      <c r="AH293" s="525"/>
      <c r="AI293" s="525"/>
      <c r="AJ293" s="525"/>
      <c r="AK293" s="525"/>
      <c r="AL293" s="525"/>
      <c r="AM293" s="29" t="s">
        <v>295</v>
      </c>
      <c r="AN293" s="29"/>
      <c r="AO293" s="29"/>
      <c r="AP293" s="29"/>
      <c r="AQ293" s="37"/>
      <c r="AR293" s="64" t="s">
        <v>211</v>
      </c>
      <c r="AZ293" s="184">
        <f>COUNTIF(AZ282:AZ292,"無無")</f>
        <v>11</v>
      </c>
      <c r="BA293" s="182" t="str">
        <f>IF(AZ293=AY292,"｢該当なし」","")</f>
        <v>｢該当なし」</v>
      </c>
      <c r="BB293" s="153"/>
      <c r="BC293" s="153"/>
      <c r="BD293" s="153"/>
      <c r="BE293" s="153"/>
      <c r="BF293" s="181" t="s">
        <v>424</v>
      </c>
      <c r="BG293" s="164">
        <f>(4*AY292)-(COUNTIF(BA282:BA292,"")+COUNTIF(BC282:BC292,"")+COUNTIF(BE282:BE292,"")+COUNTIF(BG282:BG292,""))</f>
        <v>0</v>
      </c>
      <c r="BH293" s="153"/>
      <c r="BI293" s="153"/>
      <c r="BJ293" s="181" t="s">
        <v>425</v>
      </c>
      <c r="BK293" s="164">
        <f>AY292-COUNTIF(BJ282:BJ292,"")</f>
        <v>0</v>
      </c>
    </row>
    <row r="294" spans="5:44" ht="7.5" customHeight="1">
      <c r="E294" s="204"/>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8"/>
      <c r="AJ294" s="148"/>
      <c r="AK294" s="148"/>
      <c r="AL294" s="148"/>
      <c r="AM294" s="148"/>
      <c r="AN294" s="148"/>
      <c r="AO294" s="204"/>
      <c r="AP294" s="204"/>
      <c r="AQ294" s="204"/>
      <c r="AR294" s="204"/>
    </row>
    <row r="295" spans="5:44" ht="16.5" customHeight="1">
      <c r="E295" s="204"/>
      <c r="F295" s="204" t="s">
        <v>55</v>
      </c>
      <c r="G295" s="204"/>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8"/>
      <c r="AK295" s="148"/>
      <c r="AL295" s="148"/>
      <c r="AM295" s="148"/>
      <c r="AN295" s="148"/>
      <c r="AO295" s="204"/>
      <c r="AP295" s="204"/>
      <c r="AQ295" s="204"/>
      <c r="AR295" s="204"/>
    </row>
    <row r="296" spans="5:44" ht="16.5" customHeight="1">
      <c r="E296" s="204"/>
      <c r="F296" s="204"/>
      <c r="G296" s="286" t="s">
        <v>462</v>
      </c>
      <c r="H296" s="286"/>
      <c r="I296" s="286"/>
      <c r="J296" s="286"/>
      <c r="K296" s="286"/>
      <c r="L296" s="286"/>
      <c r="M296" s="286"/>
      <c r="N296" s="286"/>
      <c r="O296" s="286"/>
      <c r="P296" s="286"/>
      <c r="Q296" s="286"/>
      <c r="R296" s="286"/>
      <c r="S296" s="286"/>
      <c r="T296" s="286"/>
      <c r="U296" s="286"/>
      <c r="V296" s="286"/>
      <c r="W296" s="286"/>
      <c r="X296" s="286"/>
      <c r="Y296" s="286"/>
      <c r="Z296" s="286"/>
      <c r="AA296" s="286"/>
      <c r="AB296" s="286"/>
      <c r="AC296" s="286"/>
      <c r="AD296" s="286"/>
      <c r="AE296" s="286"/>
      <c r="AF296" s="286"/>
      <c r="AG296" s="286"/>
      <c r="AH296" s="286"/>
      <c r="AI296" s="286"/>
      <c r="AJ296" s="286"/>
      <c r="AK296" s="286"/>
      <c r="AL296" s="286"/>
      <c r="AM296" s="286"/>
      <c r="AN296" s="286"/>
      <c r="AO296" s="286"/>
      <c r="AP296" s="286"/>
      <c r="AQ296" s="286"/>
      <c r="AR296" s="204"/>
    </row>
    <row r="297" spans="5:44" ht="16.5" customHeight="1">
      <c r="E297" s="204"/>
      <c r="F297" s="204"/>
      <c r="G297" s="286"/>
      <c r="H297" s="286"/>
      <c r="I297" s="286"/>
      <c r="J297" s="286"/>
      <c r="K297" s="286"/>
      <c r="L297" s="286"/>
      <c r="M297" s="286"/>
      <c r="N297" s="286"/>
      <c r="O297" s="286"/>
      <c r="P297" s="286"/>
      <c r="Q297" s="286"/>
      <c r="R297" s="286"/>
      <c r="S297" s="286"/>
      <c r="T297" s="286"/>
      <c r="U297" s="286"/>
      <c r="V297" s="286"/>
      <c r="W297" s="286"/>
      <c r="X297" s="286"/>
      <c r="Y297" s="286"/>
      <c r="Z297" s="286"/>
      <c r="AA297" s="286"/>
      <c r="AB297" s="286"/>
      <c r="AC297" s="286"/>
      <c r="AD297" s="286"/>
      <c r="AE297" s="286"/>
      <c r="AF297" s="286"/>
      <c r="AG297" s="286"/>
      <c r="AH297" s="286"/>
      <c r="AI297" s="286"/>
      <c r="AJ297" s="286"/>
      <c r="AK297" s="286"/>
      <c r="AL297" s="286"/>
      <c r="AM297" s="286"/>
      <c r="AN297" s="286"/>
      <c r="AO297" s="286"/>
      <c r="AP297" s="286"/>
      <c r="AQ297" s="286"/>
      <c r="AR297" s="204"/>
    </row>
    <row r="298" spans="5:44" ht="16.5" customHeight="1">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row>
    <row r="299" spans="5:44" ht="16.5" customHeight="1">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row>
    <row r="300" spans="5:44" ht="16.5" customHeight="1">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row>
    <row r="301" spans="5:46" ht="16.5" customHeight="1">
      <c r="E301" s="204"/>
      <c r="F301" s="150" t="str">
        <f>IF(BK313=0,"９　消費者向無担保貸付金の金利別内訳","９．消費者向無担保貸付金の金利別内訳")</f>
        <v>９　消費者向無担保貸付金の金利別内訳</v>
      </c>
      <c r="G301" s="148"/>
      <c r="H301" s="148"/>
      <c r="I301" s="148"/>
      <c r="J301" s="148"/>
      <c r="K301" s="148"/>
      <c r="L301" s="148"/>
      <c r="M301" s="148"/>
      <c r="N301" s="148"/>
      <c r="O301" s="148"/>
      <c r="P301" s="148"/>
      <c r="Q301" s="148"/>
      <c r="R301" s="148"/>
      <c r="S301" s="148"/>
      <c r="T301" s="148"/>
      <c r="U301" s="148"/>
      <c r="V301" s="148"/>
      <c r="W301" s="148"/>
      <c r="X301" s="148"/>
      <c r="Y301" s="142"/>
      <c r="Z301" s="148"/>
      <c r="AA301" s="148"/>
      <c r="AB301" s="148"/>
      <c r="AC301" s="148"/>
      <c r="AD301" s="148"/>
      <c r="AE301" s="148"/>
      <c r="AF301" s="148"/>
      <c r="AG301" s="148"/>
      <c r="AH301" s="148"/>
      <c r="AI301" s="148"/>
      <c r="AJ301" s="148"/>
      <c r="AK301" s="148"/>
      <c r="AL301" s="148"/>
      <c r="AM301" s="148"/>
      <c r="AN301" s="148"/>
      <c r="AO301" s="204"/>
      <c r="AP301" s="204"/>
      <c r="AQ301" s="204"/>
      <c r="AR301" s="204"/>
      <c r="AT301" s="163" t="str">
        <f>IF(BK313=0,"（表9）エラーなし","！（表9）エラー情報あり")</f>
        <v>（表9）エラーなし</v>
      </c>
    </row>
    <row r="302" spans="5:44" ht="7.5" customHeight="1">
      <c r="E302" s="204"/>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48"/>
      <c r="AL302" s="148"/>
      <c r="AM302" s="148"/>
      <c r="AN302" s="148"/>
      <c r="AO302" s="204"/>
      <c r="AP302" s="204"/>
      <c r="AQ302" s="204"/>
      <c r="AR302" s="204"/>
    </row>
    <row r="303" spans="5:44" ht="16.5" customHeight="1" thickBot="1">
      <c r="E303" s="204"/>
      <c r="F303" s="351" t="s">
        <v>293</v>
      </c>
      <c r="G303" s="352"/>
      <c r="H303" s="352"/>
      <c r="I303" s="352"/>
      <c r="J303" s="352"/>
      <c r="K303" s="352"/>
      <c r="L303" s="352"/>
      <c r="M303" s="352"/>
      <c r="N303" s="352"/>
      <c r="O303" s="352"/>
      <c r="P303" s="352"/>
      <c r="Q303" s="353"/>
      <c r="R303" s="295" t="s">
        <v>97</v>
      </c>
      <c r="S303" s="295"/>
      <c r="T303" s="517"/>
      <c r="U303" s="517"/>
      <c r="V303" s="517"/>
      <c r="W303" s="517"/>
      <c r="X303" s="517"/>
      <c r="Y303" s="517"/>
      <c r="Z303" s="517"/>
      <c r="AA303" s="517"/>
      <c r="AB303" s="517"/>
      <c r="AC303" s="517"/>
      <c r="AD303" s="517"/>
      <c r="AE303" s="294" t="s">
        <v>78</v>
      </c>
      <c r="AF303" s="517"/>
      <c r="AG303" s="517"/>
      <c r="AH303" s="517"/>
      <c r="AI303" s="517"/>
      <c r="AJ303" s="517"/>
      <c r="AK303" s="517"/>
      <c r="AL303" s="517"/>
      <c r="AM303" s="517"/>
      <c r="AN303" s="517"/>
      <c r="AO303" s="517"/>
      <c r="AP303" s="517"/>
      <c r="AQ303" s="520"/>
      <c r="AR303" s="204"/>
    </row>
    <row r="304" spans="5:63" ht="16.5" customHeight="1" thickBot="1" thickTop="1">
      <c r="E304" s="204"/>
      <c r="F304" s="354"/>
      <c r="G304" s="355"/>
      <c r="H304" s="355"/>
      <c r="I304" s="355"/>
      <c r="J304" s="355"/>
      <c r="K304" s="355"/>
      <c r="L304" s="355"/>
      <c r="M304" s="355"/>
      <c r="N304" s="355"/>
      <c r="O304" s="355"/>
      <c r="P304" s="355"/>
      <c r="Q304" s="356"/>
      <c r="R304" s="301"/>
      <c r="S304" s="301"/>
      <c r="T304" s="301"/>
      <c r="U304" s="301"/>
      <c r="V304" s="301"/>
      <c r="W304" s="301"/>
      <c r="X304" s="301"/>
      <c r="Y304" s="331"/>
      <c r="Z304" s="283" t="s">
        <v>79</v>
      </c>
      <c r="AA304" s="284"/>
      <c r="AB304" s="284"/>
      <c r="AC304" s="284"/>
      <c r="AD304" s="284"/>
      <c r="AE304" s="300"/>
      <c r="AF304" s="301"/>
      <c r="AG304" s="301"/>
      <c r="AH304" s="301"/>
      <c r="AI304" s="301"/>
      <c r="AJ304" s="301"/>
      <c r="AK304" s="301"/>
      <c r="AL304" s="331"/>
      <c r="AM304" s="283" t="s">
        <v>79</v>
      </c>
      <c r="AN304" s="284"/>
      <c r="AO304" s="284"/>
      <c r="AP304" s="284"/>
      <c r="AQ304" s="425"/>
      <c r="AR304" s="204"/>
      <c r="AZ304" s="277" t="s">
        <v>354</v>
      </c>
      <c r="BA304" s="277"/>
      <c r="BB304" s="277" t="s">
        <v>355</v>
      </c>
      <c r="BC304" s="277"/>
      <c r="BD304" s="277" t="s">
        <v>408</v>
      </c>
      <c r="BE304" s="277"/>
      <c r="BF304" s="277" t="s">
        <v>409</v>
      </c>
      <c r="BG304" s="277"/>
      <c r="BH304" s="277" t="s">
        <v>356</v>
      </c>
      <c r="BI304" s="277"/>
      <c r="BJ304" s="156"/>
      <c r="BK304" s="222" t="s">
        <v>439</v>
      </c>
    </row>
    <row r="305" spans="5:66" ht="16.5" customHeight="1" thickBot="1" thickTop="1">
      <c r="E305" s="204"/>
      <c r="F305" s="31"/>
      <c r="G305" s="32"/>
      <c r="H305" s="32"/>
      <c r="I305" s="32"/>
      <c r="J305" s="32"/>
      <c r="K305" s="32"/>
      <c r="L305" s="32"/>
      <c r="M305" s="32"/>
      <c r="N305" s="32"/>
      <c r="O305" s="32"/>
      <c r="P305" s="32"/>
      <c r="Q305" s="33"/>
      <c r="R305" s="422" t="s">
        <v>71</v>
      </c>
      <c r="S305" s="422"/>
      <c r="T305" s="422"/>
      <c r="U305" s="422"/>
      <c r="V305" s="422"/>
      <c r="W305" s="422"/>
      <c r="X305" s="422"/>
      <c r="Y305" s="423"/>
      <c r="Z305" s="466" t="s">
        <v>72</v>
      </c>
      <c r="AA305" s="422"/>
      <c r="AB305" s="422"/>
      <c r="AC305" s="422"/>
      <c r="AD305" s="422"/>
      <c r="AE305" s="305" t="str">
        <f>$X$393</f>
        <v>千円</v>
      </c>
      <c r="AF305" s="306"/>
      <c r="AG305" s="306"/>
      <c r="AH305" s="306"/>
      <c r="AI305" s="306"/>
      <c r="AJ305" s="306"/>
      <c r="AK305" s="306"/>
      <c r="AL305" s="307"/>
      <c r="AM305" s="466" t="s">
        <v>80</v>
      </c>
      <c r="AN305" s="422"/>
      <c r="AO305" s="422"/>
      <c r="AP305" s="422"/>
      <c r="AQ305" s="467"/>
      <c r="AR305" s="204"/>
      <c r="AS305" s="149">
        <f aca="true" t="shared" si="91" ref="AS305:AS312">BK305</f>
      </c>
      <c r="AV305" s="155" t="s">
        <v>437</v>
      </c>
      <c r="AW305" s="155" t="s">
        <v>438</v>
      </c>
      <c r="AZ305" s="199" t="s">
        <v>410</v>
      </c>
      <c r="BA305" s="198" t="s">
        <v>353</v>
      </c>
      <c r="BB305" s="199" t="s">
        <v>410</v>
      </c>
      <c r="BC305" s="198" t="s">
        <v>353</v>
      </c>
      <c r="BD305" s="199" t="s">
        <v>410</v>
      </c>
      <c r="BE305" s="198" t="s">
        <v>353</v>
      </c>
      <c r="BF305" s="199" t="s">
        <v>410</v>
      </c>
      <c r="BG305" s="198" t="s">
        <v>353</v>
      </c>
      <c r="BH305" s="199" t="s">
        <v>410</v>
      </c>
      <c r="BI305" s="198" t="s">
        <v>353</v>
      </c>
      <c r="BJ305" s="159"/>
      <c r="BK305" s="221">
        <f>IF(BK304="表示","　　（↓エラー情報↓）","")</f>
      </c>
      <c r="BL305" s="155" t="s">
        <v>427</v>
      </c>
      <c r="BM305" s="155" t="s">
        <v>296</v>
      </c>
      <c r="BN305" s="155" t="s">
        <v>426</v>
      </c>
    </row>
    <row r="306" spans="5:66" ht="16.5" customHeight="1">
      <c r="E306" s="204"/>
      <c r="F306" s="24"/>
      <c r="G306" s="215"/>
      <c r="H306" s="43" t="s">
        <v>167</v>
      </c>
      <c r="I306" s="215" t="s">
        <v>168</v>
      </c>
      <c r="J306" s="215"/>
      <c r="K306" s="215"/>
      <c r="L306" s="215"/>
      <c r="M306" s="215"/>
      <c r="N306" s="215"/>
      <c r="O306" s="215"/>
      <c r="P306" s="215"/>
      <c r="Q306" s="215"/>
      <c r="R306" s="364"/>
      <c r="S306" s="365"/>
      <c r="T306" s="365"/>
      <c r="U306" s="365"/>
      <c r="V306" s="365"/>
      <c r="W306" s="365"/>
      <c r="X306" s="365"/>
      <c r="Y306" s="366"/>
      <c r="Z306" s="521">
        <f aca="true" t="shared" si="92" ref="Z306:Z311">IF(OR(AV$312=0,AV306=0),0,ROUNDDOWN(R306/R$312,4)*100)</f>
        <v>0</v>
      </c>
      <c r="AA306" s="477"/>
      <c r="AB306" s="477"/>
      <c r="AC306" s="477"/>
      <c r="AD306" s="522"/>
      <c r="AE306" s="364"/>
      <c r="AF306" s="365"/>
      <c r="AG306" s="365"/>
      <c r="AH306" s="365"/>
      <c r="AI306" s="365"/>
      <c r="AJ306" s="365"/>
      <c r="AK306" s="365"/>
      <c r="AL306" s="366"/>
      <c r="AM306" s="476">
        <f aca="true" t="shared" si="93" ref="AM306:AM311">IF(OR(AW$312=0,AW306=0),0,ROUNDDOWN(AE306/AE$312,4)*100)</f>
        <v>0</v>
      </c>
      <c r="AN306" s="477"/>
      <c r="AO306" s="477"/>
      <c r="AP306" s="477"/>
      <c r="AQ306" s="478"/>
      <c r="AR306" s="144" t="s">
        <v>211</v>
      </c>
      <c r="AS306" s="149">
        <f t="shared" si="91"/>
      </c>
      <c r="AV306" s="231">
        <f aca="true" t="shared" si="94" ref="AV306:AV312">IF(R306="-",0,R306)</f>
        <v>0</v>
      </c>
      <c r="AW306" s="231">
        <f>IF(AE306="-",0,AE306)</f>
        <v>0</v>
      </c>
      <c r="AY306" s="167">
        <v>1</v>
      </c>
      <c r="AZ306" s="168" t="str">
        <f aca="true" t="shared" si="95" ref="AZ306:AZ312">CONCATENATE(IF(OR(R306="",R306="-"),"無","有"),IF(OR(AE306="",AE306="-"),"無","有"))</f>
        <v>無無</v>
      </c>
      <c r="BA306" s="169">
        <f aca="true" t="shared" si="96" ref="BA306:BA312">IF(ISNA(VLOOKUP(AZ306,AZ$75:BA$91,2,FALSE))=TRUE,"",VLOOKUP(AZ306,AZ$75:BA$91,2,FALSE))</f>
      </c>
      <c r="BB306" s="170" t="s">
        <v>276</v>
      </c>
      <c r="BC306" s="171"/>
      <c r="BD306" s="168" t="str">
        <f aca="true" t="shared" si="97" ref="BD306:BD312">IF(AZ306="有有",IF(AW306/AV306&gt;BL306,"高額","ok"),"-")</f>
        <v>-</v>
      </c>
      <c r="BE306" s="178">
        <f aca="true" t="shared" si="98" ref="BE306:BE312">IF(ISNA(VLOOKUP(BD306,BD$75:BE$91,2,FALSE))=TRUE,"",VLOOKUP(BD306,BD$75:BE$91,2,FALSE))</f>
      </c>
      <c r="BF306" s="170" t="s">
        <v>276</v>
      </c>
      <c r="BG306" s="176"/>
      <c r="BH306" s="170" t="s">
        <v>276</v>
      </c>
      <c r="BI306" s="171"/>
      <c r="BJ306" s="192">
        <f aca="true" t="shared" si="99" ref="BJ306:BJ312">IF(AND(BA306="",BC306="",BE306="",BG306="",BI306=""),"","←")</f>
      </c>
      <c r="BK306" s="174">
        <f aca="true" t="shared" si="100" ref="BK306:BK312">IF(BK$304="表示",CONCATENATE(BJ306,BA306,BC306,BE306,BG306,BI306),"")</f>
      </c>
      <c r="BL306" s="225">
        <f aca="true" t="shared" si="101" ref="BL306:BL312">IF(Z$98="百万円",BM306,BN306)</f>
        <v>1000000000</v>
      </c>
      <c r="BM306" s="225">
        <v>1000000</v>
      </c>
      <c r="BN306" s="225">
        <v>1000000000</v>
      </c>
    </row>
    <row r="307" spans="5:66" ht="16.5" customHeight="1">
      <c r="E307" s="204"/>
      <c r="F307" s="25"/>
      <c r="G307" s="203"/>
      <c r="H307" s="211" t="s">
        <v>169</v>
      </c>
      <c r="I307" s="203" t="s">
        <v>170</v>
      </c>
      <c r="J307" s="203"/>
      <c r="K307" s="203"/>
      <c r="L307" s="203"/>
      <c r="M307" s="211" t="s">
        <v>171</v>
      </c>
      <c r="N307" s="203" t="s">
        <v>168</v>
      </c>
      <c r="O307" s="203"/>
      <c r="P307" s="203"/>
      <c r="Q307" s="203"/>
      <c r="R307" s="340"/>
      <c r="S307" s="341"/>
      <c r="T307" s="341"/>
      <c r="U307" s="341"/>
      <c r="V307" s="341"/>
      <c r="W307" s="341"/>
      <c r="X307" s="341"/>
      <c r="Y307" s="342"/>
      <c r="Z307" s="521">
        <f t="shared" si="92"/>
        <v>0</v>
      </c>
      <c r="AA307" s="477"/>
      <c r="AB307" s="477"/>
      <c r="AC307" s="477"/>
      <c r="AD307" s="522"/>
      <c r="AE307" s="340"/>
      <c r="AF307" s="341"/>
      <c r="AG307" s="341"/>
      <c r="AH307" s="341"/>
      <c r="AI307" s="341"/>
      <c r="AJ307" s="341"/>
      <c r="AK307" s="341"/>
      <c r="AL307" s="342"/>
      <c r="AM307" s="476">
        <f t="shared" si="93"/>
        <v>0</v>
      </c>
      <c r="AN307" s="477"/>
      <c r="AO307" s="477"/>
      <c r="AP307" s="477"/>
      <c r="AQ307" s="478"/>
      <c r="AR307" s="144" t="s">
        <v>211</v>
      </c>
      <c r="AS307" s="149">
        <f t="shared" si="91"/>
      </c>
      <c r="AV307" s="232">
        <f t="shared" si="94"/>
        <v>0</v>
      </c>
      <c r="AW307" s="232">
        <f aca="true" t="shared" si="102" ref="AW307:AW312">IF(AE307="-",0,AE307)</f>
        <v>0</v>
      </c>
      <c r="AY307" s="167">
        <v>2</v>
      </c>
      <c r="AZ307" s="172" t="str">
        <f t="shared" si="95"/>
        <v>無無</v>
      </c>
      <c r="BA307" s="169">
        <f t="shared" si="96"/>
      </c>
      <c r="BB307" s="175" t="s">
        <v>276</v>
      </c>
      <c r="BC307" s="176"/>
      <c r="BD307" s="172" t="str">
        <f t="shared" si="97"/>
        <v>-</v>
      </c>
      <c r="BE307" s="178">
        <f t="shared" si="98"/>
      </c>
      <c r="BF307" s="175" t="s">
        <v>276</v>
      </c>
      <c r="BG307" s="176"/>
      <c r="BH307" s="175" t="s">
        <v>276</v>
      </c>
      <c r="BI307" s="176"/>
      <c r="BJ307" s="192">
        <f t="shared" si="99"/>
      </c>
      <c r="BK307" s="189">
        <f t="shared" si="100"/>
      </c>
      <c r="BL307" s="225">
        <f t="shared" si="101"/>
        <v>1000000000</v>
      </c>
      <c r="BM307" s="225">
        <v>1000000</v>
      </c>
      <c r="BN307" s="225">
        <v>1000000000</v>
      </c>
    </row>
    <row r="308" spans="5:66" ht="16.5" customHeight="1">
      <c r="E308" s="204"/>
      <c r="F308" s="25"/>
      <c r="G308" s="203"/>
      <c r="H308" s="211" t="s">
        <v>171</v>
      </c>
      <c r="I308" s="285" t="s">
        <v>172</v>
      </c>
      <c r="J308" s="285"/>
      <c r="K308" s="203"/>
      <c r="L308" s="203"/>
      <c r="M308" s="211" t="s">
        <v>173</v>
      </c>
      <c r="N308" s="285" t="s">
        <v>174</v>
      </c>
      <c r="O308" s="285"/>
      <c r="P308" s="285"/>
      <c r="Q308" s="67"/>
      <c r="R308" s="340"/>
      <c r="S308" s="341"/>
      <c r="T308" s="341"/>
      <c r="U308" s="341"/>
      <c r="V308" s="341"/>
      <c r="W308" s="341"/>
      <c r="X308" s="341"/>
      <c r="Y308" s="342"/>
      <c r="Z308" s="521">
        <f t="shared" si="92"/>
        <v>0</v>
      </c>
      <c r="AA308" s="477"/>
      <c r="AB308" s="477"/>
      <c r="AC308" s="477"/>
      <c r="AD308" s="522"/>
      <c r="AE308" s="340"/>
      <c r="AF308" s="341"/>
      <c r="AG308" s="341"/>
      <c r="AH308" s="341"/>
      <c r="AI308" s="341"/>
      <c r="AJ308" s="341"/>
      <c r="AK308" s="341"/>
      <c r="AL308" s="342"/>
      <c r="AM308" s="476">
        <f t="shared" si="93"/>
        <v>0</v>
      </c>
      <c r="AN308" s="477"/>
      <c r="AO308" s="477"/>
      <c r="AP308" s="477"/>
      <c r="AQ308" s="478"/>
      <c r="AR308" s="144" t="s">
        <v>211</v>
      </c>
      <c r="AS308" s="149">
        <f t="shared" si="91"/>
      </c>
      <c r="AV308" s="232">
        <f t="shared" si="94"/>
        <v>0</v>
      </c>
      <c r="AW308" s="232">
        <f t="shared" si="102"/>
        <v>0</v>
      </c>
      <c r="AY308" s="167">
        <v>3</v>
      </c>
      <c r="AZ308" s="172" t="str">
        <f t="shared" si="95"/>
        <v>無無</v>
      </c>
      <c r="BA308" s="169">
        <f t="shared" si="96"/>
      </c>
      <c r="BB308" s="175" t="s">
        <v>276</v>
      </c>
      <c r="BC308" s="176"/>
      <c r="BD308" s="172" t="str">
        <f t="shared" si="97"/>
        <v>-</v>
      </c>
      <c r="BE308" s="178">
        <f t="shared" si="98"/>
      </c>
      <c r="BF308" s="175" t="s">
        <v>276</v>
      </c>
      <c r="BG308" s="176"/>
      <c r="BH308" s="175" t="s">
        <v>276</v>
      </c>
      <c r="BI308" s="176"/>
      <c r="BJ308" s="192">
        <f t="shared" si="99"/>
      </c>
      <c r="BK308" s="189">
        <f t="shared" si="100"/>
      </c>
      <c r="BL308" s="225">
        <f t="shared" si="101"/>
        <v>1000000000</v>
      </c>
      <c r="BM308" s="225">
        <v>1000000</v>
      </c>
      <c r="BN308" s="225">
        <v>1000000000</v>
      </c>
    </row>
    <row r="309" spans="5:66" ht="16.5" customHeight="1">
      <c r="E309" s="204"/>
      <c r="F309" s="25"/>
      <c r="G309" s="203"/>
      <c r="H309" s="211" t="s">
        <v>173</v>
      </c>
      <c r="I309" s="285" t="s">
        <v>172</v>
      </c>
      <c r="J309" s="285"/>
      <c r="K309" s="203"/>
      <c r="L309" s="203"/>
      <c r="M309" s="211" t="s">
        <v>175</v>
      </c>
      <c r="N309" s="285" t="s">
        <v>174</v>
      </c>
      <c r="O309" s="285"/>
      <c r="P309" s="285"/>
      <c r="Q309" s="203"/>
      <c r="R309" s="340"/>
      <c r="S309" s="341"/>
      <c r="T309" s="341"/>
      <c r="U309" s="341"/>
      <c r="V309" s="341"/>
      <c r="W309" s="341"/>
      <c r="X309" s="341"/>
      <c r="Y309" s="342"/>
      <c r="Z309" s="521">
        <f t="shared" si="92"/>
        <v>0</v>
      </c>
      <c r="AA309" s="477"/>
      <c r="AB309" s="477"/>
      <c r="AC309" s="477"/>
      <c r="AD309" s="522"/>
      <c r="AE309" s="340"/>
      <c r="AF309" s="341"/>
      <c r="AG309" s="341"/>
      <c r="AH309" s="341"/>
      <c r="AI309" s="341"/>
      <c r="AJ309" s="341"/>
      <c r="AK309" s="341"/>
      <c r="AL309" s="342"/>
      <c r="AM309" s="476">
        <f t="shared" si="93"/>
        <v>0</v>
      </c>
      <c r="AN309" s="477"/>
      <c r="AO309" s="477"/>
      <c r="AP309" s="477"/>
      <c r="AQ309" s="478"/>
      <c r="AR309" s="144" t="s">
        <v>211</v>
      </c>
      <c r="AS309" s="149">
        <f t="shared" si="91"/>
      </c>
      <c r="AV309" s="232">
        <f t="shared" si="94"/>
        <v>0</v>
      </c>
      <c r="AW309" s="232">
        <f t="shared" si="102"/>
        <v>0</v>
      </c>
      <c r="AY309" s="167">
        <v>4</v>
      </c>
      <c r="AZ309" s="172" t="str">
        <f t="shared" si="95"/>
        <v>無無</v>
      </c>
      <c r="BA309" s="169">
        <f t="shared" si="96"/>
      </c>
      <c r="BB309" s="175" t="s">
        <v>276</v>
      </c>
      <c r="BC309" s="176"/>
      <c r="BD309" s="172" t="str">
        <f t="shared" si="97"/>
        <v>-</v>
      </c>
      <c r="BE309" s="178">
        <f t="shared" si="98"/>
      </c>
      <c r="BF309" s="175" t="s">
        <v>276</v>
      </c>
      <c r="BG309" s="176"/>
      <c r="BH309" s="175" t="s">
        <v>276</v>
      </c>
      <c r="BI309" s="176"/>
      <c r="BJ309" s="192">
        <f t="shared" si="99"/>
      </c>
      <c r="BK309" s="189">
        <f t="shared" si="100"/>
      </c>
      <c r="BL309" s="225">
        <f t="shared" si="101"/>
        <v>1000000000</v>
      </c>
      <c r="BM309" s="225">
        <v>1000000</v>
      </c>
      <c r="BN309" s="225">
        <v>1000000000</v>
      </c>
    </row>
    <row r="310" spans="5:66" ht="16.5" customHeight="1">
      <c r="E310" s="204"/>
      <c r="F310" s="25"/>
      <c r="G310" s="44"/>
      <c r="H310" s="211" t="s">
        <v>178</v>
      </c>
      <c r="I310" s="285" t="s">
        <v>179</v>
      </c>
      <c r="J310" s="285"/>
      <c r="K310" s="203"/>
      <c r="L310" s="211"/>
      <c r="M310" s="211" t="s">
        <v>180</v>
      </c>
      <c r="N310" s="285" t="s">
        <v>174</v>
      </c>
      <c r="O310" s="285"/>
      <c r="P310" s="285"/>
      <c r="Q310" s="203"/>
      <c r="R310" s="340"/>
      <c r="S310" s="341"/>
      <c r="T310" s="341"/>
      <c r="U310" s="341"/>
      <c r="V310" s="341"/>
      <c r="W310" s="341"/>
      <c r="X310" s="341"/>
      <c r="Y310" s="342"/>
      <c r="Z310" s="521">
        <f t="shared" si="92"/>
        <v>0</v>
      </c>
      <c r="AA310" s="477"/>
      <c r="AB310" s="477"/>
      <c r="AC310" s="477"/>
      <c r="AD310" s="522"/>
      <c r="AE310" s="340"/>
      <c r="AF310" s="341"/>
      <c r="AG310" s="341"/>
      <c r="AH310" s="341"/>
      <c r="AI310" s="341"/>
      <c r="AJ310" s="341"/>
      <c r="AK310" s="341"/>
      <c r="AL310" s="342"/>
      <c r="AM310" s="476">
        <f t="shared" si="93"/>
        <v>0</v>
      </c>
      <c r="AN310" s="477"/>
      <c r="AO310" s="477"/>
      <c r="AP310" s="477"/>
      <c r="AQ310" s="478"/>
      <c r="AR310" s="144" t="s">
        <v>211</v>
      </c>
      <c r="AS310" s="149">
        <f t="shared" si="91"/>
      </c>
      <c r="AV310" s="232">
        <f t="shared" si="94"/>
        <v>0</v>
      </c>
      <c r="AW310" s="232">
        <f t="shared" si="102"/>
        <v>0</v>
      </c>
      <c r="AY310" s="167">
        <v>5</v>
      </c>
      <c r="AZ310" s="172" t="str">
        <f t="shared" si="95"/>
        <v>無無</v>
      </c>
      <c r="BA310" s="169">
        <f t="shared" si="96"/>
      </c>
      <c r="BB310" s="175" t="s">
        <v>276</v>
      </c>
      <c r="BC310" s="176"/>
      <c r="BD310" s="172" t="str">
        <f t="shared" si="97"/>
        <v>-</v>
      </c>
      <c r="BE310" s="178">
        <f t="shared" si="98"/>
      </c>
      <c r="BF310" s="175" t="s">
        <v>276</v>
      </c>
      <c r="BG310" s="176"/>
      <c r="BH310" s="175" t="s">
        <v>276</v>
      </c>
      <c r="BI310" s="176"/>
      <c r="BJ310" s="192">
        <f t="shared" si="99"/>
      </c>
      <c r="BK310" s="189">
        <f t="shared" si="100"/>
      </c>
      <c r="BL310" s="225">
        <f t="shared" si="101"/>
        <v>1000000000</v>
      </c>
      <c r="BM310" s="225">
        <v>1000000</v>
      </c>
      <c r="BN310" s="225">
        <v>1000000000</v>
      </c>
    </row>
    <row r="311" spans="5:66" ht="16.5" customHeight="1">
      <c r="E311" s="204"/>
      <c r="F311" s="27"/>
      <c r="G311" s="21"/>
      <c r="H311" s="38" t="s">
        <v>176</v>
      </c>
      <c r="I311" s="343" t="s">
        <v>172</v>
      </c>
      <c r="J311" s="343"/>
      <c r="K311" s="21"/>
      <c r="L311" s="21"/>
      <c r="M311" s="38"/>
      <c r="N311" s="343"/>
      <c r="O311" s="343"/>
      <c r="P311" s="343"/>
      <c r="Q311" s="21"/>
      <c r="R311" s="412"/>
      <c r="S311" s="413"/>
      <c r="T311" s="413"/>
      <c r="U311" s="413"/>
      <c r="V311" s="413"/>
      <c r="W311" s="413"/>
      <c r="X311" s="413"/>
      <c r="Y311" s="414"/>
      <c r="Z311" s="521">
        <f t="shared" si="92"/>
        <v>0</v>
      </c>
      <c r="AA311" s="477"/>
      <c r="AB311" s="477"/>
      <c r="AC311" s="477"/>
      <c r="AD311" s="522"/>
      <c r="AE311" s="419"/>
      <c r="AF311" s="420"/>
      <c r="AG311" s="420"/>
      <c r="AH311" s="420"/>
      <c r="AI311" s="420"/>
      <c r="AJ311" s="420"/>
      <c r="AK311" s="420"/>
      <c r="AL311" s="421"/>
      <c r="AM311" s="476">
        <f t="shared" si="93"/>
        <v>0</v>
      </c>
      <c r="AN311" s="477"/>
      <c r="AO311" s="477"/>
      <c r="AP311" s="477"/>
      <c r="AQ311" s="478"/>
      <c r="AR311" s="144" t="s">
        <v>211</v>
      </c>
      <c r="AS311" s="149">
        <f t="shared" si="91"/>
      </c>
      <c r="AV311" s="253">
        <f t="shared" si="94"/>
        <v>0</v>
      </c>
      <c r="AW311" s="253">
        <f t="shared" si="102"/>
        <v>0</v>
      </c>
      <c r="AY311" s="167">
        <v>6</v>
      </c>
      <c r="AZ311" s="172" t="str">
        <f t="shared" si="95"/>
        <v>無無</v>
      </c>
      <c r="BA311" s="169">
        <f t="shared" si="96"/>
      </c>
      <c r="BB311" s="175" t="s">
        <v>276</v>
      </c>
      <c r="BC311" s="176"/>
      <c r="BD311" s="172" t="str">
        <f t="shared" si="97"/>
        <v>-</v>
      </c>
      <c r="BE311" s="178">
        <f t="shared" si="98"/>
      </c>
      <c r="BF311" s="175" t="s">
        <v>276</v>
      </c>
      <c r="BG311" s="176"/>
      <c r="BH311" s="175" t="s">
        <v>276</v>
      </c>
      <c r="BI311" s="176"/>
      <c r="BJ311" s="192">
        <f t="shared" si="99"/>
      </c>
      <c r="BK311" s="189">
        <f t="shared" si="100"/>
      </c>
      <c r="BL311" s="225">
        <f t="shared" si="101"/>
        <v>1000000000</v>
      </c>
      <c r="BM311" s="225">
        <v>1000000</v>
      </c>
      <c r="BN311" s="225">
        <v>1000000000</v>
      </c>
    </row>
    <row r="312" spans="5:66" ht="16.5" customHeight="1" thickBot="1">
      <c r="E312" s="204"/>
      <c r="F312" s="28"/>
      <c r="G312" s="29"/>
      <c r="H312" s="36"/>
      <c r="I312" s="401" t="s">
        <v>177</v>
      </c>
      <c r="J312" s="401"/>
      <c r="K312" s="401"/>
      <c r="L312" s="401"/>
      <c r="M312" s="401"/>
      <c r="N312" s="401"/>
      <c r="O312" s="29"/>
      <c r="P312" s="29"/>
      <c r="Q312" s="29"/>
      <c r="R312" s="348" t="str">
        <f>R292</f>
        <v>-</v>
      </c>
      <c r="S312" s="349"/>
      <c r="T312" s="349"/>
      <c r="U312" s="349"/>
      <c r="V312" s="349"/>
      <c r="W312" s="349"/>
      <c r="X312" s="349"/>
      <c r="Y312" s="350"/>
      <c r="Z312" s="409">
        <v>100</v>
      </c>
      <c r="AA312" s="409"/>
      <c r="AB312" s="409"/>
      <c r="AC312" s="409"/>
      <c r="AD312" s="409"/>
      <c r="AE312" s="348" t="str">
        <f>AE292</f>
        <v>-</v>
      </c>
      <c r="AF312" s="349"/>
      <c r="AG312" s="349"/>
      <c r="AH312" s="349"/>
      <c r="AI312" s="349"/>
      <c r="AJ312" s="349"/>
      <c r="AK312" s="349"/>
      <c r="AL312" s="350"/>
      <c r="AM312" s="409">
        <v>100</v>
      </c>
      <c r="AN312" s="409"/>
      <c r="AO312" s="409"/>
      <c r="AP312" s="409"/>
      <c r="AQ312" s="410"/>
      <c r="AR312" s="144" t="s">
        <v>211</v>
      </c>
      <c r="AS312" s="149">
        <f t="shared" si="91"/>
      </c>
      <c r="AV312" s="234">
        <f t="shared" si="94"/>
        <v>0</v>
      </c>
      <c r="AW312" s="234">
        <f t="shared" si="102"/>
        <v>0</v>
      </c>
      <c r="AY312" s="167">
        <v>7</v>
      </c>
      <c r="AZ312" s="179" t="str">
        <f t="shared" si="95"/>
        <v>無無</v>
      </c>
      <c r="BA312" s="169">
        <f t="shared" si="96"/>
      </c>
      <c r="BB312" s="179" t="str">
        <f>CONCATENATE(IF(AV312=SUM(AV306:AV311),"合","不"),IF(AND(SUM(AW306:AW311)&lt;=AW312,AW312&lt;=(SUM(AW306:AW311)+6)),"合","不"))</f>
        <v>合合</v>
      </c>
      <c r="BC312" s="178">
        <f>IF(ISNA(VLOOKUP(BB312,BB$75:BC$91,2,FALSE))=TRUE,"",VLOOKUP(BB312,BB$75:BC$91,2,FALSE))</f>
      </c>
      <c r="BD312" s="179" t="str">
        <f t="shared" si="97"/>
        <v>-</v>
      </c>
      <c r="BE312" s="178">
        <f t="shared" si="98"/>
      </c>
      <c r="BF312" s="180" t="s">
        <v>276</v>
      </c>
      <c r="BG312" s="176"/>
      <c r="BH312" s="179" t="str">
        <f>IF(BG313=0,IF(R312=Q$99,IF(AE312=Z$99,"正正消","正誤消"),IF(AE312=Z$99,"誤正消","誤誤消")),"-")</f>
        <v>正正消</v>
      </c>
      <c r="BI312" s="178">
        <f>IF(ISNA(VLOOKUP(BH312,BH$75:BI$91,2,FALSE))=TRUE,"",VLOOKUP(BH312,BH$75:BI$91,2,FALSE))</f>
      </c>
      <c r="BJ312" s="192">
        <f t="shared" si="99"/>
      </c>
      <c r="BK312" s="220">
        <f t="shared" si="100"/>
      </c>
      <c r="BL312" s="225">
        <f t="shared" si="101"/>
        <v>1000000000</v>
      </c>
      <c r="BM312" s="225">
        <v>1000000</v>
      </c>
      <c r="BN312" s="225">
        <v>1000000000</v>
      </c>
    </row>
    <row r="313" spans="5:63" ht="16.5" customHeight="1" thickBot="1">
      <c r="E313" s="204"/>
      <c r="F313" s="148"/>
      <c r="G313" s="148"/>
      <c r="H313" s="148"/>
      <c r="I313" s="148"/>
      <c r="J313" s="148"/>
      <c r="K313" s="148"/>
      <c r="L313" s="148"/>
      <c r="M313" s="148"/>
      <c r="N313" s="148"/>
      <c r="O313" s="148"/>
      <c r="P313" s="148"/>
      <c r="Q313" s="148"/>
      <c r="R313" s="148"/>
      <c r="S313" s="148"/>
      <c r="T313" s="148"/>
      <c r="U313" s="148"/>
      <c r="V313" s="148"/>
      <c r="W313" s="204"/>
      <c r="X313" s="148"/>
      <c r="Y313" s="148"/>
      <c r="Z313" s="148"/>
      <c r="AA313" s="148"/>
      <c r="AB313" s="148"/>
      <c r="AC313" s="148"/>
      <c r="AD313" s="148"/>
      <c r="AE313" s="148"/>
      <c r="AF313" s="148"/>
      <c r="AG313" s="148"/>
      <c r="AH313" s="148"/>
      <c r="AI313" s="148"/>
      <c r="AJ313" s="148"/>
      <c r="AK313" s="148"/>
      <c r="AL313" s="148"/>
      <c r="AM313" s="148"/>
      <c r="AN313" s="148"/>
      <c r="AO313" s="204"/>
      <c r="AP313" s="204"/>
      <c r="AQ313" s="204"/>
      <c r="AR313" s="204"/>
      <c r="AZ313" s="184">
        <f>COUNTIF(AZ306:AZ312,"無無")</f>
        <v>7</v>
      </c>
      <c r="BA313" s="182" t="str">
        <f>IF(AZ313=AY312,"｢該当なし」","")</f>
        <v>｢該当なし」</v>
      </c>
      <c r="BF313" s="181" t="s">
        <v>424</v>
      </c>
      <c r="BG313" s="164">
        <f>(4*AY312)-(COUNTIF(BA306:BA312,"")+COUNTIF(BC306:BC312,"")+COUNTIF(BE306:BE312,"")+COUNTIF(BG306:BG312,""))</f>
        <v>0</v>
      </c>
      <c r="BH313" s="153"/>
      <c r="BI313" s="153"/>
      <c r="BJ313" s="181" t="s">
        <v>425</v>
      </c>
      <c r="BK313" s="164">
        <f>AY312-COUNTIF(BJ306:BJ312,"")</f>
        <v>0</v>
      </c>
    </row>
    <row r="314" spans="5:44" ht="16.5" customHeight="1">
      <c r="E314" s="204"/>
      <c r="F314" s="204" t="s">
        <v>55</v>
      </c>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row>
    <row r="315" spans="5:66" ht="16.5" customHeight="1">
      <c r="E315" s="204"/>
      <c r="F315" s="204"/>
      <c r="G315" s="204" t="s">
        <v>27</v>
      </c>
      <c r="H315" s="204"/>
      <c r="I315" s="204"/>
      <c r="J315" s="204"/>
      <c r="K315" s="204"/>
      <c r="L315" s="204"/>
      <c r="M315" s="8"/>
      <c r="N315" s="8"/>
      <c r="O315" s="8"/>
      <c r="P315" s="8"/>
      <c r="Q315" s="8"/>
      <c r="R315" s="8"/>
      <c r="S315" s="8"/>
      <c r="T315" s="8"/>
      <c r="U315" s="8"/>
      <c r="V315" s="8"/>
      <c r="W315" s="8"/>
      <c r="X315" s="8"/>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BI315" s="154"/>
      <c r="BJ315" s="153"/>
      <c r="BK315" s="151"/>
      <c r="BN315" s="196"/>
    </row>
    <row r="316" spans="5:63" ht="16.5" customHeight="1">
      <c r="E316" s="204"/>
      <c r="F316" s="204"/>
      <c r="G316" s="204"/>
      <c r="H316" s="204"/>
      <c r="I316" s="204"/>
      <c r="J316" s="204"/>
      <c r="K316" s="204"/>
      <c r="L316" s="204"/>
      <c r="M316" s="8"/>
      <c r="N316" s="8"/>
      <c r="O316" s="8"/>
      <c r="P316" s="8"/>
      <c r="Q316" s="8"/>
      <c r="R316" s="8"/>
      <c r="S316" s="8"/>
      <c r="T316" s="8"/>
      <c r="U316" s="8"/>
      <c r="V316" s="8"/>
      <c r="W316" s="8"/>
      <c r="X316" s="8"/>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BI316" s="154"/>
      <c r="BJ316" s="153"/>
      <c r="BK316" s="151"/>
    </row>
    <row r="317" spans="5:63" ht="16.5" customHeight="1">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BI317" s="154"/>
      <c r="BJ317" s="153"/>
      <c r="BK317" s="151"/>
    </row>
    <row r="318" spans="5:63" ht="16.5" customHeight="1">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BI318" s="154"/>
      <c r="BJ318" s="153"/>
      <c r="BK318" s="151"/>
    </row>
    <row r="319" spans="5:63" ht="16.5" customHeight="1">
      <c r="E319" s="204"/>
      <c r="F319" s="150" t="str">
        <f>IF(BK333=0,"10　事業者向無担保貸付金の金額別内訳","10．事業者向無担保貸付金の金額別内訳")</f>
        <v>10　事業者向無担保貸付金の金額別内訳</v>
      </c>
      <c r="G319" s="148"/>
      <c r="H319" s="148"/>
      <c r="I319" s="148"/>
      <c r="J319" s="148"/>
      <c r="K319" s="148"/>
      <c r="L319" s="148"/>
      <c r="M319" s="148"/>
      <c r="N319" s="148"/>
      <c r="O319" s="148"/>
      <c r="P319" s="148"/>
      <c r="Q319" s="148"/>
      <c r="R319" s="148"/>
      <c r="S319" s="148"/>
      <c r="T319" s="148"/>
      <c r="U319" s="148"/>
      <c r="V319" s="148"/>
      <c r="W319" s="148"/>
      <c r="X319" s="148"/>
      <c r="Y319" s="142"/>
      <c r="Z319" s="148"/>
      <c r="AA319" s="148"/>
      <c r="AB319" s="148"/>
      <c r="AC319" s="148"/>
      <c r="AD319" s="148"/>
      <c r="AE319" s="148"/>
      <c r="AF319" s="72"/>
      <c r="AG319" s="148"/>
      <c r="AH319" s="148"/>
      <c r="AI319" s="148"/>
      <c r="AJ319" s="148"/>
      <c r="AK319" s="148"/>
      <c r="AL319" s="148"/>
      <c r="AM319" s="148"/>
      <c r="AN319" s="148"/>
      <c r="AO319" s="204"/>
      <c r="AP319" s="204"/>
      <c r="AQ319" s="204"/>
      <c r="AR319" s="204"/>
      <c r="AT319" s="163" t="str">
        <f>IF(BK333=0,"（表10）エラーなし","！（表10）エラー情報あり")</f>
        <v>（表10）エラーなし</v>
      </c>
      <c r="BI319" s="154"/>
      <c r="BJ319" s="153"/>
      <c r="BK319" s="151"/>
    </row>
    <row r="320" spans="5:63" ht="7.5" customHeight="1">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48"/>
      <c r="AK320" s="148"/>
      <c r="AL320" s="148"/>
      <c r="AM320" s="148"/>
      <c r="AN320" s="148"/>
      <c r="AO320" s="148"/>
      <c r="AP320" s="148"/>
      <c r="AQ320" s="148"/>
      <c r="AR320" s="148"/>
      <c r="BI320" s="154"/>
      <c r="BJ320" s="153"/>
      <c r="BK320" s="151"/>
    </row>
    <row r="321" spans="5:44" ht="16.5" customHeight="1" thickBot="1">
      <c r="E321" s="148"/>
      <c r="F321" s="351" t="s">
        <v>291</v>
      </c>
      <c r="G321" s="352"/>
      <c r="H321" s="352"/>
      <c r="I321" s="352"/>
      <c r="J321" s="352"/>
      <c r="K321" s="352"/>
      <c r="L321" s="352"/>
      <c r="M321" s="352"/>
      <c r="N321" s="352"/>
      <c r="O321" s="352"/>
      <c r="P321" s="352"/>
      <c r="Q321" s="353"/>
      <c r="R321" s="287" t="s">
        <v>97</v>
      </c>
      <c r="S321" s="288"/>
      <c r="T321" s="288"/>
      <c r="U321" s="288"/>
      <c r="V321" s="288"/>
      <c r="W321" s="288"/>
      <c r="X321" s="288"/>
      <c r="Y321" s="288"/>
      <c r="Z321" s="289"/>
      <c r="AA321" s="289"/>
      <c r="AB321" s="289"/>
      <c r="AC321" s="289"/>
      <c r="AD321" s="290"/>
      <c r="AE321" s="287" t="s">
        <v>78</v>
      </c>
      <c r="AF321" s="288"/>
      <c r="AG321" s="288"/>
      <c r="AH321" s="288"/>
      <c r="AI321" s="288"/>
      <c r="AJ321" s="288"/>
      <c r="AK321" s="288"/>
      <c r="AL321" s="288"/>
      <c r="AM321" s="289"/>
      <c r="AN321" s="289"/>
      <c r="AO321" s="289"/>
      <c r="AP321" s="289"/>
      <c r="AQ321" s="290"/>
      <c r="AR321" s="148"/>
    </row>
    <row r="322" spans="5:63" ht="16.5" customHeight="1" thickBot="1" thickTop="1">
      <c r="E322" s="148"/>
      <c r="F322" s="354"/>
      <c r="G322" s="355"/>
      <c r="H322" s="355"/>
      <c r="I322" s="355"/>
      <c r="J322" s="355"/>
      <c r="K322" s="355"/>
      <c r="L322" s="355"/>
      <c r="M322" s="355"/>
      <c r="N322" s="355"/>
      <c r="O322" s="355"/>
      <c r="P322" s="355"/>
      <c r="Q322" s="356"/>
      <c r="R322" s="300"/>
      <c r="S322" s="301"/>
      <c r="T322" s="301"/>
      <c r="U322" s="301"/>
      <c r="V322" s="301"/>
      <c r="W322" s="301"/>
      <c r="X322" s="301"/>
      <c r="Y322" s="331"/>
      <c r="Z322" s="283" t="s">
        <v>79</v>
      </c>
      <c r="AA322" s="284"/>
      <c r="AB322" s="284"/>
      <c r="AC322" s="284"/>
      <c r="AD322" s="425"/>
      <c r="AE322" s="300"/>
      <c r="AF322" s="301"/>
      <c r="AG322" s="301"/>
      <c r="AH322" s="301"/>
      <c r="AI322" s="301"/>
      <c r="AJ322" s="301"/>
      <c r="AK322" s="301"/>
      <c r="AL322" s="331"/>
      <c r="AM322" s="283" t="s">
        <v>79</v>
      </c>
      <c r="AN322" s="284"/>
      <c r="AO322" s="284"/>
      <c r="AP322" s="284"/>
      <c r="AQ322" s="425"/>
      <c r="AR322" s="148"/>
      <c r="AZ322" s="277" t="s">
        <v>354</v>
      </c>
      <c r="BA322" s="277"/>
      <c r="BB322" s="277" t="s">
        <v>355</v>
      </c>
      <c r="BC322" s="277"/>
      <c r="BD322" s="277" t="s">
        <v>408</v>
      </c>
      <c r="BE322" s="277"/>
      <c r="BF322" s="277" t="s">
        <v>409</v>
      </c>
      <c r="BG322" s="277"/>
      <c r="BH322" s="277" t="s">
        <v>356</v>
      </c>
      <c r="BI322" s="277"/>
      <c r="BJ322" s="156"/>
      <c r="BK322" s="222" t="s">
        <v>439</v>
      </c>
    </row>
    <row r="323" spans="5:66" ht="16.5" customHeight="1" thickBot="1" thickTop="1">
      <c r="E323" s="148"/>
      <c r="F323" s="31"/>
      <c r="G323" s="32"/>
      <c r="H323" s="32"/>
      <c r="I323" s="32"/>
      <c r="J323" s="32"/>
      <c r="K323" s="32"/>
      <c r="L323" s="32"/>
      <c r="M323" s="32"/>
      <c r="N323" s="32"/>
      <c r="O323" s="32"/>
      <c r="P323" s="32"/>
      <c r="Q323" s="33"/>
      <c r="R323" s="422" t="s">
        <v>71</v>
      </c>
      <c r="S323" s="422"/>
      <c r="T323" s="422"/>
      <c r="U323" s="422"/>
      <c r="V323" s="422"/>
      <c r="W323" s="422"/>
      <c r="X323" s="422"/>
      <c r="Y323" s="423"/>
      <c r="Z323" s="466" t="s">
        <v>72</v>
      </c>
      <c r="AA323" s="422"/>
      <c r="AB323" s="422"/>
      <c r="AC323" s="422"/>
      <c r="AD323" s="467"/>
      <c r="AE323" s="306" t="str">
        <f>$X$393</f>
        <v>千円</v>
      </c>
      <c r="AF323" s="306"/>
      <c r="AG323" s="306"/>
      <c r="AH323" s="306"/>
      <c r="AI323" s="306"/>
      <c r="AJ323" s="306"/>
      <c r="AK323" s="306"/>
      <c r="AL323" s="307"/>
      <c r="AM323" s="466" t="s">
        <v>80</v>
      </c>
      <c r="AN323" s="422"/>
      <c r="AO323" s="422"/>
      <c r="AP323" s="422"/>
      <c r="AQ323" s="467"/>
      <c r="AR323" s="148"/>
      <c r="AS323" s="149">
        <f aca="true" t="shared" si="103" ref="AS323:AS332">BK323</f>
      </c>
      <c r="AV323" s="155" t="s">
        <v>437</v>
      </c>
      <c r="AW323" s="155" t="s">
        <v>438</v>
      </c>
      <c r="AZ323" s="199" t="s">
        <v>410</v>
      </c>
      <c r="BA323" s="198" t="s">
        <v>353</v>
      </c>
      <c r="BB323" s="199" t="s">
        <v>410</v>
      </c>
      <c r="BC323" s="198" t="s">
        <v>353</v>
      </c>
      <c r="BD323" s="199" t="s">
        <v>410</v>
      </c>
      <c r="BE323" s="198" t="s">
        <v>353</v>
      </c>
      <c r="BF323" s="199" t="s">
        <v>410</v>
      </c>
      <c r="BG323" s="198" t="s">
        <v>353</v>
      </c>
      <c r="BH323" s="199" t="s">
        <v>410</v>
      </c>
      <c r="BI323" s="198" t="s">
        <v>353</v>
      </c>
      <c r="BJ323" s="159"/>
      <c r="BK323" s="221">
        <f>IF(BK322="表示","　　（↓エラー情報↓）","")</f>
      </c>
      <c r="BL323" s="155" t="s">
        <v>427</v>
      </c>
      <c r="BM323" s="155" t="s">
        <v>296</v>
      </c>
      <c r="BN323" s="155" t="s">
        <v>426</v>
      </c>
    </row>
    <row r="324" spans="5:66" ht="16.5" customHeight="1">
      <c r="E324" s="148"/>
      <c r="F324" s="24"/>
      <c r="G324" s="215"/>
      <c r="H324" s="43" t="s">
        <v>181</v>
      </c>
      <c r="I324" s="215" t="s">
        <v>99</v>
      </c>
      <c r="J324" s="215"/>
      <c r="K324" s="215"/>
      <c r="L324" s="215"/>
      <c r="M324" s="215"/>
      <c r="N324" s="215"/>
      <c r="O324" s="215"/>
      <c r="P324" s="215"/>
      <c r="Q324" s="215"/>
      <c r="R324" s="364"/>
      <c r="S324" s="365"/>
      <c r="T324" s="365"/>
      <c r="U324" s="365"/>
      <c r="V324" s="365"/>
      <c r="W324" s="365"/>
      <c r="X324" s="365"/>
      <c r="Y324" s="366"/>
      <c r="Z324" s="338">
        <f>IF(OR(AV$332=0,AV324=0),0,ROUNDDOWN(R324/R$332,4)*100)</f>
        <v>0</v>
      </c>
      <c r="AA324" s="338"/>
      <c r="AB324" s="338"/>
      <c r="AC324" s="338"/>
      <c r="AD324" s="338"/>
      <c r="AE324" s="364"/>
      <c r="AF324" s="365"/>
      <c r="AG324" s="365"/>
      <c r="AH324" s="365"/>
      <c r="AI324" s="365"/>
      <c r="AJ324" s="365"/>
      <c r="AK324" s="365"/>
      <c r="AL324" s="366"/>
      <c r="AM324" s="411">
        <f>IF(OR(AW$332=0,AW324=0),0,ROUNDDOWN(AE324/AE$332,4)*100)</f>
        <v>0</v>
      </c>
      <c r="AN324" s="338"/>
      <c r="AO324" s="338"/>
      <c r="AP324" s="338"/>
      <c r="AQ324" s="339"/>
      <c r="AR324" s="144" t="s">
        <v>211</v>
      </c>
      <c r="AS324" s="149">
        <f t="shared" si="103"/>
      </c>
      <c r="AV324" s="231">
        <f aca="true" t="shared" si="104" ref="AV324:AV332">IF(R324="-",0,R324)</f>
        <v>0</v>
      </c>
      <c r="AW324" s="231">
        <f aca="true" t="shared" si="105" ref="AW324:AW332">IF(AE324="-",0,AE324)</f>
        <v>0</v>
      </c>
      <c r="AY324" s="167">
        <v>1</v>
      </c>
      <c r="AZ324" s="168" t="str">
        <f aca="true" t="shared" si="106" ref="AZ324:AZ332">CONCATENATE(IF(OR(R324="",R324="-"),"無","有"),IF(OR(AE324="",AE324="-"),"無","有"))</f>
        <v>無無</v>
      </c>
      <c r="BA324" s="169">
        <f aca="true" t="shared" si="107" ref="BA324:BA332">IF(ISNA(VLOOKUP(AZ324,AZ$75:BA$91,2,FALSE))=TRUE,"",VLOOKUP(AZ324,AZ$75:BA$91,2,FALSE))</f>
      </c>
      <c r="BB324" s="170" t="s">
        <v>276</v>
      </c>
      <c r="BC324" s="171"/>
      <c r="BD324" s="168" t="str">
        <f aca="true" t="shared" si="108" ref="BD324:BD332">IF(AZ324="有有",IF(AW324/AV324&gt;BL324,"高額","ok"),"-")</f>
        <v>-</v>
      </c>
      <c r="BE324" s="178">
        <f aca="true" t="shared" si="109" ref="BE324:BE332">IF(ISNA(VLOOKUP(BD324,BD$75:BE$91,2,FALSE))=TRUE,"",VLOOKUP(BD324,BD$75:BE$91,2,FALSE))</f>
      </c>
      <c r="BF324" s="170" t="s">
        <v>276</v>
      </c>
      <c r="BG324" s="176"/>
      <c r="BH324" s="170" t="s">
        <v>276</v>
      </c>
      <c r="BI324" s="171"/>
      <c r="BJ324" s="192">
        <f>IF(AND(BA324="",BC324="",BE324="",BG324="",BI324=""),"","←")</f>
      </c>
      <c r="BK324" s="174">
        <f>IF(BK$322="表示",CONCATENATE(BJ324,BA324,BC324,BE324,BG324,BI324),"")</f>
      </c>
      <c r="BL324" s="225">
        <f aca="true" t="shared" si="110" ref="BL324:BL332">IF(Z$98="百万円",BM324,BN324)</f>
        <v>1000</v>
      </c>
      <c r="BM324" s="225">
        <v>1</v>
      </c>
      <c r="BN324" s="225">
        <v>1000</v>
      </c>
    </row>
    <row r="325" spans="5:66" ht="16.5" customHeight="1">
      <c r="E325" s="148"/>
      <c r="F325" s="25"/>
      <c r="G325" s="203"/>
      <c r="H325" s="211" t="s">
        <v>182</v>
      </c>
      <c r="I325" s="203" t="s">
        <v>101</v>
      </c>
      <c r="J325" s="203"/>
      <c r="K325" s="203"/>
      <c r="L325" s="203"/>
      <c r="M325" s="211" t="s">
        <v>107</v>
      </c>
      <c r="N325" s="203" t="s">
        <v>99</v>
      </c>
      <c r="O325" s="203"/>
      <c r="P325" s="203"/>
      <c r="Q325" s="203"/>
      <c r="R325" s="340"/>
      <c r="S325" s="341"/>
      <c r="T325" s="341"/>
      <c r="U325" s="341"/>
      <c r="V325" s="341"/>
      <c r="W325" s="341"/>
      <c r="X325" s="341"/>
      <c r="Y325" s="342"/>
      <c r="Z325" s="338">
        <f aca="true" t="shared" si="111" ref="Z325:Z330">IF(OR(AV$332=0,AV325=0),0,ROUNDDOWN(R325/R$332,4)*100)</f>
        <v>0</v>
      </c>
      <c r="AA325" s="338"/>
      <c r="AB325" s="338"/>
      <c r="AC325" s="338"/>
      <c r="AD325" s="338"/>
      <c r="AE325" s="340"/>
      <c r="AF325" s="341"/>
      <c r="AG325" s="341"/>
      <c r="AH325" s="341"/>
      <c r="AI325" s="341"/>
      <c r="AJ325" s="341"/>
      <c r="AK325" s="341"/>
      <c r="AL325" s="342"/>
      <c r="AM325" s="411">
        <f aca="true" t="shared" si="112" ref="AM325:AM330">IF(OR(AW$332=0,AW325=0),0,ROUNDDOWN(AE325/AE$332,4)*100)</f>
        <v>0</v>
      </c>
      <c r="AN325" s="338"/>
      <c r="AO325" s="338"/>
      <c r="AP325" s="338"/>
      <c r="AQ325" s="339"/>
      <c r="AR325" s="144" t="s">
        <v>211</v>
      </c>
      <c r="AS325" s="149">
        <f t="shared" si="103"/>
      </c>
      <c r="AV325" s="232">
        <f t="shared" si="104"/>
        <v>0</v>
      </c>
      <c r="AW325" s="232">
        <f t="shared" si="105"/>
        <v>0</v>
      </c>
      <c r="AY325" s="167">
        <v>2</v>
      </c>
      <c r="AZ325" s="172" t="str">
        <f t="shared" si="106"/>
        <v>無無</v>
      </c>
      <c r="BA325" s="169">
        <f t="shared" si="107"/>
      </c>
      <c r="BB325" s="175" t="s">
        <v>276</v>
      </c>
      <c r="BC325" s="176"/>
      <c r="BD325" s="172" t="str">
        <f t="shared" si="108"/>
        <v>-</v>
      </c>
      <c r="BE325" s="178">
        <f t="shared" si="109"/>
      </c>
      <c r="BF325" s="175" t="s">
        <v>276</v>
      </c>
      <c r="BG325" s="176"/>
      <c r="BH325" s="175" t="s">
        <v>276</v>
      </c>
      <c r="BI325" s="176"/>
      <c r="BJ325" s="192">
        <f>IF(AND(BA325="",BC325="",BE325="",BG325="",BI325=""),"","←")</f>
      </c>
      <c r="BK325" s="189">
        <f aca="true" t="shared" si="113" ref="BK325:BK331">IF(BK$322="表示",CONCATENATE(BJ325,BA325,BC325,BE325,BG325,BI325),"")</f>
      </c>
      <c r="BL325" s="225">
        <f t="shared" si="110"/>
        <v>5000</v>
      </c>
      <c r="BM325" s="225">
        <v>5</v>
      </c>
      <c r="BN325" s="225">
        <v>5000</v>
      </c>
    </row>
    <row r="326" spans="5:66" ht="16.5" customHeight="1">
      <c r="E326" s="148"/>
      <c r="F326" s="25"/>
      <c r="G326" s="203"/>
      <c r="H326" s="211" t="s">
        <v>107</v>
      </c>
      <c r="I326" s="285" t="s">
        <v>103</v>
      </c>
      <c r="J326" s="285"/>
      <c r="K326" s="203"/>
      <c r="L326" s="203"/>
      <c r="M326" s="211" t="s">
        <v>183</v>
      </c>
      <c r="N326" s="285" t="s">
        <v>105</v>
      </c>
      <c r="O326" s="285"/>
      <c r="P326" s="285"/>
      <c r="Q326" s="67"/>
      <c r="R326" s="340"/>
      <c r="S326" s="341"/>
      <c r="T326" s="341"/>
      <c r="U326" s="341"/>
      <c r="V326" s="341"/>
      <c r="W326" s="341"/>
      <c r="X326" s="341"/>
      <c r="Y326" s="342"/>
      <c r="Z326" s="338">
        <f t="shared" si="111"/>
        <v>0</v>
      </c>
      <c r="AA326" s="338"/>
      <c r="AB326" s="338"/>
      <c r="AC326" s="338"/>
      <c r="AD326" s="338"/>
      <c r="AE326" s="340"/>
      <c r="AF326" s="341"/>
      <c r="AG326" s="341"/>
      <c r="AH326" s="341"/>
      <c r="AI326" s="341"/>
      <c r="AJ326" s="341"/>
      <c r="AK326" s="341"/>
      <c r="AL326" s="342"/>
      <c r="AM326" s="411">
        <f t="shared" si="112"/>
        <v>0</v>
      </c>
      <c r="AN326" s="338"/>
      <c r="AO326" s="338"/>
      <c r="AP326" s="338"/>
      <c r="AQ326" s="339"/>
      <c r="AR326" s="144" t="s">
        <v>211</v>
      </c>
      <c r="AS326" s="149">
        <f t="shared" si="103"/>
      </c>
      <c r="AV326" s="232">
        <f t="shared" si="104"/>
        <v>0</v>
      </c>
      <c r="AW326" s="232">
        <f t="shared" si="105"/>
        <v>0</v>
      </c>
      <c r="AY326" s="167">
        <v>3</v>
      </c>
      <c r="AZ326" s="172" t="str">
        <f t="shared" si="106"/>
        <v>無無</v>
      </c>
      <c r="BA326" s="169">
        <f t="shared" si="107"/>
      </c>
      <c r="BB326" s="175" t="s">
        <v>276</v>
      </c>
      <c r="BC326" s="176"/>
      <c r="BD326" s="172" t="str">
        <f t="shared" si="108"/>
        <v>-</v>
      </c>
      <c r="BE326" s="178">
        <f t="shared" si="109"/>
      </c>
      <c r="BF326" s="175" t="s">
        <v>276</v>
      </c>
      <c r="BG326" s="176"/>
      <c r="BH326" s="175" t="s">
        <v>276</v>
      </c>
      <c r="BI326" s="176"/>
      <c r="BJ326" s="192">
        <f>IF(AND(BA326="",BC326="",BE326="",BG326="",BI326=""),"","←")</f>
      </c>
      <c r="BK326" s="189">
        <f t="shared" si="113"/>
      </c>
      <c r="BL326" s="225">
        <f t="shared" si="110"/>
        <v>10000</v>
      </c>
      <c r="BM326" s="225">
        <v>10</v>
      </c>
      <c r="BN326" s="225">
        <v>10000</v>
      </c>
    </row>
    <row r="327" spans="5:66" ht="16.5" customHeight="1">
      <c r="E327" s="148"/>
      <c r="F327" s="25"/>
      <c r="G327" s="203"/>
      <c r="H327" s="211" t="s">
        <v>183</v>
      </c>
      <c r="I327" s="285" t="s">
        <v>103</v>
      </c>
      <c r="J327" s="285"/>
      <c r="K327" s="203"/>
      <c r="L327" s="203"/>
      <c r="M327" s="211" t="s">
        <v>184</v>
      </c>
      <c r="N327" s="285" t="s">
        <v>105</v>
      </c>
      <c r="O327" s="285"/>
      <c r="P327" s="285"/>
      <c r="Q327" s="203"/>
      <c r="R327" s="340"/>
      <c r="S327" s="341"/>
      <c r="T327" s="341"/>
      <c r="U327" s="341"/>
      <c r="V327" s="341"/>
      <c r="W327" s="341"/>
      <c r="X327" s="341"/>
      <c r="Y327" s="342"/>
      <c r="Z327" s="338">
        <f t="shared" si="111"/>
        <v>0</v>
      </c>
      <c r="AA327" s="338"/>
      <c r="AB327" s="338"/>
      <c r="AC327" s="338"/>
      <c r="AD327" s="338"/>
      <c r="AE327" s="340"/>
      <c r="AF327" s="341"/>
      <c r="AG327" s="341"/>
      <c r="AH327" s="341"/>
      <c r="AI327" s="341"/>
      <c r="AJ327" s="341"/>
      <c r="AK327" s="341"/>
      <c r="AL327" s="342"/>
      <c r="AM327" s="411">
        <f t="shared" si="112"/>
        <v>0</v>
      </c>
      <c r="AN327" s="338"/>
      <c r="AO327" s="338"/>
      <c r="AP327" s="338"/>
      <c r="AQ327" s="339"/>
      <c r="AR327" s="144" t="s">
        <v>211</v>
      </c>
      <c r="AS327" s="149">
        <f t="shared" si="103"/>
      </c>
      <c r="AV327" s="232">
        <f t="shared" si="104"/>
        <v>0</v>
      </c>
      <c r="AW327" s="232">
        <f t="shared" si="105"/>
        <v>0</v>
      </c>
      <c r="AY327" s="167">
        <v>4</v>
      </c>
      <c r="AZ327" s="172" t="str">
        <f t="shared" si="106"/>
        <v>無無</v>
      </c>
      <c r="BA327" s="169">
        <f t="shared" si="107"/>
      </c>
      <c r="BB327" s="175" t="s">
        <v>276</v>
      </c>
      <c r="BC327" s="176"/>
      <c r="BD327" s="172" t="str">
        <f t="shared" si="108"/>
        <v>-</v>
      </c>
      <c r="BE327" s="178">
        <f t="shared" si="109"/>
      </c>
      <c r="BF327" s="175" t="s">
        <v>276</v>
      </c>
      <c r="BG327" s="176"/>
      <c r="BH327" s="175" t="s">
        <v>276</v>
      </c>
      <c r="BI327" s="176"/>
      <c r="BJ327" s="192">
        <f aca="true" t="shared" si="114" ref="BJ327:BJ332">IF(AND(BA327="",BC327="",BE327="",BG327="",BI327=""),"","←")</f>
      </c>
      <c r="BK327" s="189">
        <f t="shared" si="113"/>
      </c>
      <c r="BL327" s="225">
        <f t="shared" si="110"/>
        <v>50000</v>
      </c>
      <c r="BM327" s="225">
        <v>50</v>
      </c>
      <c r="BN327" s="225">
        <v>50000</v>
      </c>
    </row>
    <row r="328" spans="5:66" ht="16.5" customHeight="1">
      <c r="E328" s="148"/>
      <c r="F328" s="25"/>
      <c r="G328" s="211"/>
      <c r="H328" s="211" t="s">
        <v>184</v>
      </c>
      <c r="I328" s="285" t="s">
        <v>103</v>
      </c>
      <c r="J328" s="285"/>
      <c r="K328" s="203"/>
      <c r="L328" s="211"/>
      <c r="M328" s="211" t="s">
        <v>110</v>
      </c>
      <c r="N328" s="285" t="s">
        <v>111</v>
      </c>
      <c r="O328" s="285"/>
      <c r="P328" s="285"/>
      <c r="Q328" s="203"/>
      <c r="R328" s="340"/>
      <c r="S328" s="341"/>
      <c r="T328" s="341"/>
      <c r="U328" s="341"/>
      <c r="V328" s="341"/>
      <c r="W328" s="341"/>
      <c r="X328" s="341"/>
      <c r="Y328" s="342"/>
      <c r="Z328" s="338">
        <f t="shared" si="111"/>
        <v>0</v>
      </c>
      <c r="AA328" s="338"/>
      <c r="AB328" s="338"/>
      <c r="AC328" s="338"/>
      <c r="AD328" s="338"/>
      <c r="AE328" s="340"/>
      <c r="AF328" s="341"/>
      <c r="AG328" s="341"/>
      <c r="AH328" s="341"/>
      <c r="AI328" s="341"/>
      <c r="AJ328" s="341"/>
      <c r="AK328" s="341"/>
      <c r="AL328" s="342"/>
      <c r="AM328" s="411">
        <f t="shared" si="112"/>
        <v>0</v>
      </c>
      <c r="AN328" s="338"/>
      <c r="AO328" s="338"/>
      <c r="AP328" s="338"/>
      <c r="AQ328" s="339"/>
      <c r="AR328" s="144" t="s">
        <v>211</v>
      </c>
      <c r="AS328" s="149">
        <f t="shared" si="103"/>
      </c>
      <c r="AU328" s="151" t="e">
        <f aca="true" t="array" ref="AU328">+AU:BCAU:DL</f>
        <v>#NAME?</v>
      </c>
      <c r="AV328" s="232">
        <f t="shared" si="104"/>
        <v>0</v>
      </c>
      <c r="AW328" s="232">
        <f t="shared" si="105"/>
        <v>0</v>
      </c>
      <c r="AY328" s="167">
        <v>5</v>
      </c>
      <c r="AZ328" s="172" t="str">
        <f t="shared" si="106"/>
        <v>無無</v>
      </c>
      <c r="BA328" s="169">
        <f t="shared" si="107"/>
      </c>
      <c r="BB328" s="175" t="s">
        <v>276</v>
      </c>
      <c r="BC328" s="176"/>
      <c r="BD328" s="172" t="str">
        <f t="shared" si="108"/>
        <v>-</v>
      </c>
      <c r="BE328" s="178">
        <f t="shared" si="109"/>
      </c>
      <c r="BF328" s="175" t="s">
        <v>276</v>
      </c>
      <c r="BG328" s="176"/>
      <c r="BH328" s="175" t="s">
        <v>276</v>
      </c>
      <c r="BI328" s="176"/>
      <c r="BJ328" s="192">
        <f t="shared" si="114"/>
      </c>
      <c r="BK328" s="189">
        <f t="shared" si="113"/>
      </c>
      <c r="BL328" s="225">
        <f t="shared" si="110"/>
        <v>100000</v>
      </c>
      <c r="BM328" s="225">
        <v>100</v>
      </c>
      <c r="BN328" s="225">
        <v>100000</v>
      </c>
    </row>
    <row r="329" spans="5:66" ht="16.5" customHeight="1">
      <c r="E329" s="148"/>
      <c r="F329" s="25"/>
      <c r="G329" s="203"/>
      <c r="H329" s="211" t="s">
        <v>110</v>
      </c>
      <c r="I329" s="206" t="s">
        <v>185</v>
      </c>
      <c r="J329" s="206"/>
      <c r="K329" s="206"/>
      <c r="L329" s="203"/>
      <c r="M329" s="211" t="s">
        <v>186</v>
      </c>
      <c r="N329" s="285" t="s">
        <v>187</v>
      </c>
      <c r="O329" s="285"/>
      <c r="P329" s="285"/>
      <c r="Q329" s="203"/>
      <c r="R329" s="340"/>
      <c r="S329" s="341"/>
      <c r="T329" s="341"/>
      <c r="U329" s="341"/>
      <c r="V329" s="341"/>
      <c r="W329" s="341"/>
      <c r="X329" s="341"/>
      <c r="Y329" s="342"/>
      <c r="Z329" s="338">
        <f t="shared" si="111"/>
        <v>0</v>
      </c>
      <c r="AA329" s="338"/>
      <c r="AB329" s="338"/>
      <c r="AC329" s="338"/>
      <c r="AD329" s="338"/>
      <c r="AE329" s="340"/>
      <c r="AF329" s="341"/>
      <c r="AG329" s="341"/>
      <c r="AH329" s="341"/>
      <c r="AI329" s="341"/>
      <c r="AJ329" s="341"/>
      <c r="AK329" s="341"/>
      <c r="AL329" s="342"/>
      <c r="AM329" s="411">
        <f t="shared" si="112"/>
        <v>0</v>
      </c>
      <c r="AN329" s="338"/>
      <c r="AO329" s="338"/>
      <c r="AP329" s="338"/>
      <c r="AQ329" s="339"/>
      <c r="AR329" s="144" t="s">
        <v>211</v>
      </c>
      <c r="AS329" s="149">
        <f t="shared" si="103"/>
      </c>
      <c r="AV329" s="232">
        <f t="shared" si="104"/>
        <v>0</v>
      </c>
      <c r="AW329" s="232">
        <f t="shared" si="105"/>
        <v>0</v>
      </c>
      <c r="AY329" s="167">
        <v>6</v>
      </c>
      <c r="AZ329" s="172" t="str">
        <f t="shared" si="106"/>
        <v>無無</v>
      </c>
      <c r="BA329" s="169">
        <f t="shared" si="107"/>
      </c>
      <c r="BB329" s="175" t="s">
        <v>276</v>
      </c>
      <c r="BC329" s="176"/>
      <c r="BD329" s="172" t="str">
        <f>IF(AZ329="有有",IF(AW329/AV329&gt;BL329,"高額","ok"),"-")</f>
        <v>-</v>
      </c>
      <c r="BE329" s="178">
        <f t="shared" si="109"/>
      </c>
      <c r="BF329" s="175" t="s">
        <v>276</v>
      </c>
      <c r="BG329" s="176"/>
      <c r="BH329" s="175" t="s">
        <v>276</v>
      </c>
      <c r="BI329" s="176"/>
      <c r="BJ329" s="192">
        <f t="shared" si="114"/>
      </c>
      <c r="BK329" s="189">
        <f t="shared" si="113"/>
      </c>
      <c r="BL329" s="225">
        <f t="shared" si="110"/>
        <v>500000</v>
      </c>
      <c r="BM329" s="225">
        <v>500</v>
      </c>
      <c r="BN329" s="225">
        <v>500000</v>
      </c>
    </row>
    <row r="330" spans="5:66" ht="16.5" customHeight="1">
      <c r="E330" s="204"/>
      <c r="F330" s="25"/>
      <c r="G330" s="203"/>
      <c r="H330" s="211" t="s">
        <v>186</v>
      </c>
      <c r="I330" s="285" t="s">
        <v>188</v>
      </c>
      <c r="J330" s="285"/>
      <c r="K330" s="203"/>
      <c r="L330" s="203"/>
      <c r="M330" s="211" t="s">
        <v>189</v>
      </c>
      <c r="N330" s="285" t="s">
        <v>187</v>
      </c>
      <c r="O330" s="285"/>
      <c r="P330" s="285"/>
      <c r="Q330" s="203"/>
      <c r="R330" s="340"/>
      <c r="S330" s="341"/>
      <c r="T330" s="341"/>
      <c r="U330" s="341"/>
      <c r="V330" s="341"/>
      <c r="W330" s="341"/>
      <c r="X330" s="341"/>
      <c r="Y330" s="342"/>
      <c r="Z330" s="338">
        <f t="shared" si="111"/>
        <v>0</v>
      </c>
      <c r="AA330" s="338"/>
      <c r="AB330" s="338"/>
      <c r="AC330" s="338"/>
      <c r="AD330" s="338"/>
      <c r="AE330" s="340"/>
      <c r="AF330" s="341"/>
      <c r="AG330" s="341"/>
      <c r="AH330" s="341"/>
      <c r="AI330" s="341"/>
      <c r="AJ330" s="341"/>
      <c r="AK330" s="341"/>
      <c r="AL330" s="342"/>
      <c r="AM330" s="411">
        <f t="shared" si="112"/>
        <v>0</v>
      </c>
      <c r="AN330" s="338"/>
      <c r="AO330" s="338"/>
      <c r="AP330" s="338"/>
      <c r="AQ330" s="339"/>
      <c r="AR330" s="144" t="s">
        <v>211</v>
      </c>
      <c r="AS330" s="149">
        <f t="shared" si="103"/>
      </c>
      <c r="AV330" s="232">
        <f t="shared" si="104"/>
        <v>0</v>
      </c>
      <c r="AW330" s="232">
        <f t="shared" si="105"/>
        <v>0</v>
      </c>
      <c r="AY330" s="167">
        <v>7</v>
      </c>
      <c r="AZ330" s="172" t="str">
        <f t="shared" si="106"/>
        <v>無無</v>
      </c>
      <c r="BA330" s="169">
        <f t="shared" si="107"/>
      </c>
      <c r="BB330" s="175" t="s">
        <v>276</v>
      </c>
      <c r="BC330" s="176"/>
      <c r="BD330" s="172" t="str">
        <f t="shared" si="108"/>
        <v>-</v>
      </c>
      <c r="BE330" s="178">
        <f t="shared" si="109"/>
      </c>
      <c r="BF330" s="175" t="s">
        <v>276</v>
      </c>
      <c r="BG330" s="176"/>
      <c r="BH330" s="175" t="s">
        <v>276</v>
      </c>
      <c r="BI330" s="176"/>
      <c r="BJ330" s="192">
        <f t="shared" si="114"/>
      </c>
      <c r="BK330" s="189">
        <f t="shared" si="113"/>
      </c>
      <c r="BL330" s="225">
        <f t="shared" si="110"/>
        <v>1000000</v>
      </c>
      <c r="BM330" s="225">
        <v>1000</v>
      </c>
      <c r="BN330" s="225">
        <v>1000000</v>
      </c>
    </row>
    <row r="331" spans="5:66" ht="16.5" customHeight="1">
      <c r="E331" s="204"/>
      <c r="F331" s="26"/>
      <c r="G331" s="19"/>
      <c r="H331" s="292" t="s">
        <v>190</v>
      </c>
      <c r="I331" s="292"/>
      <c r="J331" s="292"/>
      <c r="K331" s="292"/>
      <c r="L331" s="292"/>
      <c r="M331" s="292"/>
      <c r="N331" s="316"/>
      <c r="O331" s="316"/>
      <c r="P331" s="316"/>
      <c r="Q331" s="19"/>
      <c r="R331" s="412"/>
      <c r="S331" s="413"/>
      <c r="T331" s="413"/>
      <c r="U331" s="413"/>
      <c r="V331" s="413"/>
      <c r="W331" s="413"/>
      <c r="X331" s="413"/>
      <c r="Y331" s="414"/>
      <c r="Z331" s="338">
        <f>IF(OR(AV$332=0,AV331=0),0,ROUNDDOWN(R331/R$332,4)*100)</f>
        <v>0</v>
      </c>
      <c r="AA331" s="338"/>
      <c r="AB331" s="338"/>
      <c r="AC331" s="338"/>
      <c r="AD331" s="338"/>
      <c r="AE331" s="419"/>
      <c r="AF331" s="420"/>
      <c r="AG331" s="420"/>
      <c r="AH331" s="420"/>
      <c r="AI331" s="420"/>
      <c r="AJ331" s="420"/>
      <c r="AK331" s="420"/>
      <c r="AL331" s="421"/>
      <c r="AM331" s="411">
        <f>IF(OR(AW$332=0,AW331=0),0,ROUNDDOWN(AE331/AE$332,4)*100)</f>
        <v>0</v>
      </c>
      <c r="AN331" s="338"/>
      <c r="AO331" s="338"/>
      <c r="AP331" s="338"/>
      <c r="AQ331" s="339"/>
      <c r="AR331" s="144" t="s">
        <v>211</v>
      </c>
      <c r="AS331" s="149">
        <f t="shared" si="103"/>
      </c>
      <c r="AV331" s="253">
        <f t="shared" si="104"/>
        <v>0</v>
      </c>
      <c r="AW331" s="253">
        <f t="shared" si="105"/>
        <v>0</v>
      </c>
      <c r="AY331" s="167">
        <v>8</v>
      </c>
      <c r="AZ331" s="172" t="str">
        <f t="shared" si="106"/>
        <v>無無</v>
      </c>
      <c r="BA331" s="169">
        <f t="shared" si="107"/>
      </c>
      <c r="BB331" s="175" t="s">
        <v>276</v>
      </c>
      <c r="BC331" s="176"/>
      <c r="BD331" s="172" t="str">
        <f t="shared" si="108"/>
        <v>-</v>
      </c>
      <c r="BE331" s="178">
        <f t="shared" si="109"/>
      </c>
      <c r="BF331" s="175" t="s">
        <v>276</v>
      </c>
      <c r="BG331" s="176"/>
      <c r="BH331" s="175" t="s">
        <v>276</v>
      </c>
      <c r="BI331" s="176"/>
      <c r="BJ331" s="192">
        <f t="shared" si="114"/>
      </c>
      <c r="BK331" s="189">
        <f t="shared" si="113"/>
      </c>
      <c r="BL331" s="225">
        <f t="shared" si="110"/>
        <v>1000000000</v>
      </c>
      <c r="BM331" s="225">
        <v>1000000</v>
      </c>
      <c r="BN331" s="225">
        <v>1000000000</v>
      </c>
    </row>
    <row r="332" spans="5:66" ht="16.5" customHeight="1" thickBot="1">
      <c r="E332" s="204"/>
      <c r="F332" s="28"/>
      <c r="G332" s="29"/>
      <c r="H332" s="36"/>
      <c r="I332" s="401" t="s">
        <v>191</v>
      </c>
      <c r="J332" s="401"/>
      <c r="K332" s="401"/>
      <c r="L332" s="401"/>
      <c r="M332" s="401"/>
      <c r="N332" s="401"/>
      <c r="O332" s="29"/>
      <c r="P332" s="29"/>
      <c r="Q332" s="29"/>
      <c r="R332" s="348" t="str">
        <f>Q103</f>
        <v>-</v>
      </c>
      <c r="S332" s="349"/>
      <c r="T332" s="349"/>
      <c r="U332" s="349"/>
      <c r="V332" s="349"/>
      <c r="W332" s="349"/>
      <c r="X332" s="349"/>
      <c r="Y332" s="350"/>
      <c r="Z332" s="409">
        <v>100</v>
      </c>
      <c r="AA332" s="409"/>
      <c r="AB332" s="409"/>
      <c r="AC332" s="409"/>
      <c r="AD332" s="409"/>
      <c r="AE332" s="348" t="str">
        <f>Z103</f>
        <v>-</v>
      </c>
      <c r="AF332" s="349"/>
      <c r="AG332" s="349"/>
      <c r="AH332" s="349"/>
      <c r="AI332" s="349"/>
      <c r="AJ332" s="349"/>
      <c r="AK332" s="349"/>
      <c r="AL332" s="350"/>
      <c r="AM332" s="409">
        <v>100</v>
      </c>
      <c r="AN332" s="409"/>
      <c r="AO332" s="409"/>
      <c r="AP332" s="409"/>
      <c r="AQ332" s="410"/>
      <c r="AR332" s="144" t="s">
        <v>211</v>
      </c>
      <c r="AS332" s="149">
        <f t="shared" si="103"/>
      </c>
      <c r="AV332" s="234">
        <f t="shared" si="104"/>
        <v>0</v>
      </c>
      <c r="AW332" s="234">
        <f t="shared" si="105"/>
        <v>0</v>
      </c>
      <c r="AY332" s="167">
        <v>9</v>
      </c>
      <c r="AZ332" s="179" t="str">
        <f t="shared" si="106"/>
        <v>無無</v>
      </c>
      <c r="BA332" s="169">
        <f t="shared" si="107"/>
      </c>
      <c r="BB332" s="179" t="str">
        <f>CONCATENATE(IF(AV332=SUM(AV324:AV331),"合","不"),IF(AND(SUM(AW324:AW331)&lt;=AW332,AW332&lt;=(SUM(AW324:AW331)+8)),"合","不"))</f>
        <v>合合</v>
      </c>
      <c r="BC332" s="178">
        <f>IF(ISNA(VLOOKUP(BB332,BB$75:BC$91,2,FALSE))=TRUE,"",VLOOKUP(BB332,BB$75:BC$91,2,FALSE))</f>
      </c>
      <c r="BD332" s="179" t="str">
        <f t="shared" si="108"/>
        <v>-</v>
      </c>
      <c r="BE332" s="178">
        <f t="shared" si="109"/>
      </c>
      <c r="BF332" s="180" t="s">
        <v>276</v>
      </c>
      <c r="BG332" s="176"/>
      <c r="BH332" s="179" t="str">
        <f>IF(BG333=0,IF(R332=Q$103,IF(AE332=Z$103,"正正事","正誤事"),IF(AE332=Z$103,"誤正事","誤誤事")),"-")</f>
        <v>正正事</v>
      </c>
      <c r="BI332" s="178">
        <f>IF(ISNA(VLOOKUP(BH332,BH$75:BI$91,2,FALSE))=TRUE,"",VLOOKUP(BH332,BH$75:BI$91,2,FALSE))</f>
      </c>
      <c r="BJ332" s="192">
        <f t="shared" si="114"/>
      </c>
      <c r="BK332" s="220">
        <f>IF(BK$322="表示",CONCATENATE(BJ332,BA332,BC332,BE332,BG332,BI332),"")</f>
      </c>
      <c r="BL332" s="225">
        <f t="shared" si="110"/>
        <v>1000000000</v>
      </c>
      <c r="BM332" s="225">
        <v>1000000</v>
      </c>
      <c r="BN332" s="225">
        <v>1000000000</v>
      </c>
    </row>
    <row r="333" spans="5:63" ht="16.5" customHeight="1" thickBot="1">
      <c r="E333" s="204"/>
      <c r="F333" s="300" t="s">
        <v>192</v>
      </c>
      <c r="G333" s="301"/>
      <c r="H333" s="301"/>
      <c r="I333" s="301"/>
      <c r="J333" s="301"/>
      <c r="K333" s="301"/>
      <c r="L333" s="301"/>
      <c r="M333" s="301"/>
      <c r="N333" s="301"/>
      <c r="O333" s="301"/>
      <c r="P333" s="301"/>
      <c r="Q333" s="301"/>
      <c r="R333" s="301"/>
      <c r="S333" s="301"/>
      <c r="T333" s="301"/>
      <c r="U333" s="301"/>
      <c r="V333" s="301"/>
      <c r="W333" s="301"/>
      <c r="X333" s="301"/>
      <c r="Y333" s="301"/>
      <c r="Z333" s="301"/>
      <c r="AA333" s="301"/>
      <c r="AB333" s="301"/>
      <c r="AC333" s="301"/>
      <c r="AD333" s="331"/>
      <c r="AE333" s="518">
        <f>IF(AV332=0,"",ROUNDDOWN(AE332/R332,2))</f>
      </c>
      <c r="AF333" s="519"/>
      <c r="AG333" s="519"/>
      <c r="AH333" s="519"/>
      <c r="AI333" s="519"/>
      <c r="AJ333" s="519"/>
      <c r="AK333" s="519"/>
      <c r="AL333" s="519"/>
      <c r="AM333" s="224" t="str">
        <f>$X$393</f>
        <v>千円</v>
      </c>
      <c r="AN333" s="223"/>
      <c r="AO333" s="214"/>
      <c r="AP333" s="214"/>
      <c r="AQ333" s="45"/>
      <c r="AR333" s="204"/>
      <c r="AZ333" s="184">
        <f>COUNTIF(AZ324:AZ332,"無無")</f>
        <v>9</v>
      </c>
      <c r="BA333" s="182" t="str">
        <f>IF(AZ333=AY332,"｢該当なし」","")</f>
        <v>｢該当なし」</v>
      </c>
      <c r="BF333" s="181" t="s">
        <v>424</v>
      </c>
      <c r="BG333" s="164">
        <f>(4*AY332)-(COUNTIF(BA324:BA332,"")+COUNTIF(BC324:BC332,"")+COUNTIF(BE324:BE332,"")+COUNTIF(BG324:BG332,""))</f>
        <v>0</v>
      </c>
      <c r="BH333" s="153"/>
      <c r="BI333" s="153"/>
      <c r="BJ333" s="181" t="s">
        <v>425</v>
      </c>
      <c r="BK333" s="164">
        <f>AY332-COUNTIF(BJ324:BJ332,"")</f>
        <v>0</v>
      </c>
    </row>
    <row r="334" spans="5:44" ht="7.5" customHeight="1">
      <c r="E334" s="204"/>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204"/>
      <c r="AP334" s="204"/>
      <c r="AQ334" s="204"/>
      <c r="AR334" s="204"/>
    </row>
    <row r="335" spans="5:44" ht="16.5" customHeight="1">
      <c r="E335" s="204"/>
      <c r="F335" s="204" t="s">
        <v>55</v>
      </c>
      <c r="G335" s="204"/>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204"/>
      <c r="AP335" s="204"/>
      <c r="AQ335" s="204"/>
      <c r="AR335" s="204"/>
    </row>
    <row r="336" spans="5:44" ht="16.5" customHeight="1">
      <c r="E336" s="204"/>
      <c r="F336" s="204"/>
      <c r="G336" s="286" t="s">
        <v>312</v>
      </c>
      <c r="H336" s="286"/>
      <c r="I336" s="286"/>
      <c r="J336" s="286"/>
      <c r="K336" s="286"/>
      <c r="L336" s="286"/>
      <c r="M336" s="286"/>
      <c r="N336" s="286"/>
      <c r="O336" s="286"/>
      <c r="P336" s="286"/>
      <c r="Q336" s="286"/>
      <c r="R336" s="286"/>
      <c r="S336" s="286"/>
      <c r="T336" s="286"/>
      <c r="U336" s="286"/>
      <c r="V336" s="286"/>
      <c r="W336" s="286"/>
      <c r="X336" s="286"/>
      <c r="Y336" s="286"/>
      <c r="Z336" s="286"/>
      <c r="AA336" s="286"/>
      <c r="AB336" s="286"/>
      <c r="AC336" s="286"/>
      <c r="AD336" s="286"/>
      <c r="AE336" s="286"/>
      <c r="AF336" s="286"/>
      <c r="AG336" s="286"/>
      <c r="AH336" s="286"/>
      <c r="AI336" s="286"/>
      <c r="AJ336" s="286"/>
      <c r="AK336" s="286"/>
      <c r="AL336" s="286"/>
      <c r="AM336" s="286"/>
      <c r="AN336" s="286"/>
      <c r="AO336" s="286"/>
      <c r="AP336" s="286"/>
      <c r="AQ336" s="286"/>
      <c r="AR336" s="204"/>
    </row>
    <row r="337" spans="5:44" ht="16.5" customHeight="1">
      <c r="E337" s="204"/>
      <c r="F337" s="204"/>
      <c r="G337" s="286" t="s">
        <v>313</v>
      </c>
      <c r="H337" s="286"/>
      <c r="I337" s="286"/>
      <c r="J337" s="286"/>
      <c r="K337" s="286"/>
      <c r="L337" s="286"/>
      <c r="M337" s="286"/>
      <c r="N337" s="286"/>
      <c r="O337" s="286"/>
      <c r="P337" s="286"/>
      <c r="Q337" s="286"/>
      <c r="R337" s="286"/>
      <c r="S337" s="286"/>
      <c r="T337" s="286"/>
      <c r="U337" s="286"/>
      <c r="V337" s="286"/>
      <c r="W337" s="286"/>
      <c r="X337" s="286"/>
      <c r="Y337" s="286"/>
      <c r="Z337" s="286"/>
      <c r="AA337" s="286"/>
      <c r="AB337" s="286"/>
      <c r="AC337" s="286"/>
      <c r="AD337" s="286"/>
      <c r="AE337" s="286"/>
      <c r="AF337" s="286"/>
      <c r="AG337" s="286"/>
      <c r="AH337" s="286"/>
      <c r="AI337" s="286"/>
      <c r="AJ337" s="286"/>
      <c r="AK337" s="286"/>
      <c r="AL337" s="286"/>
      <c r="AM337" s="286"/>
      <c r="AN337" s="286"/>
      <c r="AO337" s="286"/>
      <c r="AP337" s="286"/>
      <c r="AQ337" s="286"/>
      <c r="AR337" s="204"/>
    </row>
    <row r="338" spans="5:44" ht="16.5" customHeight="1">
      <c r="E338" s="204"/>
      <c r="F338" s="204"/>
      <c r="G338" s="204"/>
      <c r="H338" s="39"/>
      <c r="I338" s="39"/>
      <c r="J338" s="39"/>
      <c r="K338" s="39"/>
      <c r="L338" s="39"/>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204"/>
      <c r="AP338" s="204"/>
      <c r="AQ338" s="204"/>
      <c r="AR338" s="204"/>
    </row>
    <row r="339" spans="5:44" ht="16.5" customHeight="1">
      <c r="E339" s="204"/>
      <c r="F339" s="204"/>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204"/>
      <c r="AP339" s="204"/>
      <c r="AQ339" s="204"/>
      <c r="AR339" s="204"/>
    </row>
    <row r="340" spans="5:46" ht="16.5" customHeight="1">
      <c r="E340" s="204"/>
      <c r="F340" s="150" t="str">
        <f>IF(BK353=0,"11　事業者向無担保貸付金の金利別内訳","11．事業者向無担保貸付金の金利別内訳")</f>
        <v>11　事業者向無担保貸付金の金利別内訳</v>
      </c>
      <c r="G340" s="148"/>
      <c r="H340" s="148"/>
      <c r="I340" s="148"/>
      <c r="J340" s="148"/>
      <c r="K340" s="148"/>
      <c r="L340" s="148"/>
      <c r="M340" s="148"/>
      <c r="N340" s="148"/>
      <c r="O340" s="148"/>
      <c r="P340" s="148"/>
      <c r="Q340" s="148"/>
      <c r="R340" s="148"/>
      <c r="S340" s="148"/>
      <c r="T340" s="148"/>
      <c r="U340" s="148"/>
      <c r="V340" s="148"/>
      <c r="W340" s="148"/>
      <c r="X340" s="148"/>
      <c r="Y340" s="143"/>
      <c r="Z340" s="148"/>
      <c r="AA340" s="148"/>
      <c r="AB340" s="148"/>
      <c r="AC340" s="148"/>
      <c r="AD340" s="148"/>
      <c r="AE340" s="148"/>
      <c r="AF340" s="72"/>
      <c r="AG340" s="148"/>
      <c r="AH340" s="148"/>
      <c r="AI340" s="148"/>
      <c r="AJ340" s="148"/>
      <c r="AK340" s="148"/>
      <c r="AL340" s="148"/>
      <c r="AM340" s="148"/>
      <c r="AN340" s="148"/>
      <c r="AO340" s="204"/>
      <c r="AP340" s="204"/>
      <c r="AQ340" s="204"/>
      <c r="AR340" s="204"/>
      <c r="AT340" s="163" t="str">
        <f>IF(BK353=0,"（表11）エラーなし","！（表11）エラー情報あり")</f>
        <v>（表11）エラーなし</v>
      </c>
    </row>
    <row r="341" spans="5:44" ht="7.5" customHeight="1">
      <c r="E341" s="204"/>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204"/>
      <c r="AP341" s="204"/>
      <c r="AQ341" s="204"/>
      <c r="AR341" s="204"/>
    </row>
    <row r="342" spans="5:44" ht="16.5" customHeight="1" thickBot="1">
      <c r="E342" s="204"/>
      <c r="F342" s="351" t="s">
        <v>293</v>
      </c>
      <c r="G342" s="352"/>
      <c r="H342" s="352"/>
      <c r="I342" s="352"/>
      <c r="J342" s="352"/>
      <c r="K342" s="352"/>
      <c r="L342" s="352"/>
      <c r="M342" s="352"/>
      <c r="N342" s="352"/>
      <c r="O342" s="352"/>
      <c r="P342" s="352"/>
      <c r="Q342" s="353"/>
      <c r="R342" s="295" t="s">
        <v>97</v>
      </c>
      <c r="S342" s="295"/>
      <c r="T342" s="517"/>
      <c r="U342" s="517"/>
      <c r="V342" s="517"/>
      <c r="W342" s="517"/>
      <c r="X342" s="517"/>
      <c r="Y342" s="517"/>
      <c r="Z342" s="517"/>
      <c r="AA342" s="517"/>
      <c r="AB342" s="517"/>
      <c r="AC342" s="517"/>
      <c r="AD342" s="517"/>
      <c r="AE342" s="294" t="s">
        <v>78</v>
      </c>
      <c r="AF342" s="517"/>
      <c r="AG342" s="517"/>
      <c r="AH342" s="517"/>
      <c r="AI342" s="517"/>
      <c r="AJ342" s="517"/>
      <c r="AK342" s="517"/>
      <c r="AL342" s="517"/>
      <c r="AM342" s="517"/>
      <c r="AN342" s="517"/>
      <c r="AO342" s="517"/>
      <c r="AP342" s="517"/>
      <c r="AQ342" s="520"/>
      <c r="AR342" s="204"/>
    </row>
    <row r="343" spans="5:63" ht="16.5" customHeight="1" thickBot="1" thickTop="1">
      <c r="E343" s="204"/>
      <c r="F343" s="354"/>
      <c r="G343" s="355"/>
      <c r="H343" s="355"/>
      <c r="I343" s="355"/>
      <c r="J343" s="355"/>
      <c r="K343" s="355"/>
      <c r="L343" s="355"/>
      <c r="M343" s="355"/>
      <c r="N343" s="355"/>
      <c r="O343" s="355"/>
      <c r="P343" s="355"/>
      <c r="Q343" s="356"/>
      <c r="R343" s="301"/>
      <c r="S343" s="301"/>
      <c r="T343" s="301"/>
      <c r="U343" s="301"/>
      <c r="V343" s="301"/>
      <c r="W343" s="301"/>
      <c r="X343" s="301"/>
      <c r="Y343" s="331"/>
      <c r="Z343" s="283" t="s">
        <v>79</v>
      </c>
      <c r="AA343" s="284"/>
      <c r="AB343" s="284"/>
      <c r="AC343" s="284"/>
      <c r="AD343" s="284"/>
      <c r="AE343" s="300"/>
      <c r="AF343" s="301"/>
      <c r="AG343" s="301"/>
      <c r="AH343" s="301"/>
      <c r="AI343" s="301"/>
      <c r="AJ343" s="301"/>
      <c r="AK343" s="301"/>
      <c r="AL343" s="331"/>
      <c r="AM343" s="283" t="s">
        <v>79</v>
      </c>
      <c r="AN343" s="284"/>
      <c r="AO343" s="284"/>
      <c r="AP343" s="284"/>
      <c r="AQ343" s="425"/>
      <c r="AR343" s="204"/>
      <c r="AZ343" s="277" t="s">
        <v>354</v>
      </c>
      <c r="BA343" s="277"/>
      <c r="BB343" s="277" t="s">
        <v>355</v>
      </c>
      <c r="BC343" s="277"/>
      <c r="BD343" s="277" t="s">
        <v>408</v>
      </c>
      <c r="BE343" s="277"/>
      <c r="BF343" s="277" t="s">
        <v>409</v>
      </c>
      <c r="BG343" s="277"/>
      <c r="BH343" s="277" t="s">
        <v>356</v>
      </c>
      <c r="BI343" s="277"/>
      <c r="BJ343" s="156"/>
      <c r="BK343" s="222" t="s">
        <v>439</v>
      </c>
    </row>
    <row r="344" spans="5:66" ht="16.5" customHeight="1" thickBot="1" thickTop="1">
      <c r="E344" s="204"/>
      <c r="F344" s="31"/>
      <c r="G344" s="32"/>
      <c r="H344" s="32"/>
      <c r="I344" s="32"/>
      <c r="J344" s="32"/>
      <c r="K344" s="32"/>
      <c r="L344" s="32"/>
      <c r="M344" s="32"/>
      <c r="N344" s="32"/>
      <c r="O344" s="32"/>
      <c r="P344" s="32"/>
      <c r="Q344" s="33"/>
      <c r="R344" s="422" t="s">
        <v>71</v>
      </c>
      <c r="S344" s="422"/>
      <c r="T344" s="422"/>
      <c r="U344" s="422"/>
      <c r="V344" s="422"/>
      <c r="W344" s="422"/>
      <c r="X344" s="422"/>
      <c r="Y344" s="423"/>
      <c r="Z344" s="466" t="s">
        <v>72</v>
      </c>
      <c r="AA344" s="422"/>
      <c r="AB344" s="422"/>
      <c r="AC344" s="422"/>
      <c r="AD344" s="422"/>
      <c r="AE344" s="305" t="str">
        <f>$X$393</f>
        <v>千円</v>
      </c>
      <c r="AF344" s="306"/>
      <c r="AG344" s="306"/>
      <c r="AH344" s="306"/>
      <c r="AI344" s="306"/>
      <c r="AJ344" s="306"/>
      <c r="AK344" s="306"/>
      <c r="AL344" s="307"/>
      <c r="AM344" s="466" t="s">
        <v>80</v>
      </c>
      <c r="AN344" s="422"/>
      <c r="AO344" s="422"/>
      <c r="AP344" s="422"/>
      <c r="AQ344" s="467"/>
      <c r="AR344" s="204"/>
      <c r="AS344" s="149">
        <f aca="true" t="shared" si="115" ref="AS344:AS352">BK344</f>
      </c>
      <c r="AV344" s="155" t="s">
        <v>437</v>
      </c>
      <c r="AW344" s="155" t="s">
        <v>438</v>
      </c>
      <c r="AZ344" s="199" t="s">
        <v>410</v>
      </c>
      <c r="BA344" s="198" t="s">
        <v>353</v>
      </c>
      <c r="BB344" s="199" t="s">
        <v>410</v>
      </c>
      <c r="BC344" s="198" t="s">
        <v>353</v>
      </c>
      <c r="BD344" s="199" t="s">
        <v>410</v>
      </c>
      <c r="BE344" s="198" t="s">
        <v>353</v>
      </c>
      <c r="BF344" s="199" t="s">
        <v>410</v>
      </c>
      <c r="BG344" s="198" t="s">
        <v>353</v>
      </c>
      <c r="BH344" s="199" t="s">
        <v>410</v>
      </c>
      <c r="BI344" s="198" t="s">
        <v>353</v>
      </c>
      <c r="BJ344" s="159"/>
      <c r="BK344" s="221">
        <f>IF(BK343="表示","　　（↓エラー情報↓）","")</f>
      </c>
      <c r="BL344" s="155" t="s">
        <v>427</v>
      </c>
      <c r="BM344" s="155" t="s">
        <v>296</v>
      </c>
      <c r="BN344" s="155" t="s">
        <v>426</v>
      </c>
    </row>
    <row r="345" spans="5:66" ht="16.5" customHeight="1">
      <c r="E345" s="204"/>
      <c r="F345" s="66"/>
      <c r="G345" s="215"/>
      <c r="H345" s="43" t="s">
        <v>195</v>
      </c>
      <c r="I345" s="215" t="s">
        <v>168</v>
      </c>
      <c r="J345" s="215"/>
      <c r="K345" s="215"/>
      <c r="L345" s="215"/>
      <c r="M345" s="215"/>
      <c r="N345" s="215"/>
      <c r="O345" s="215"/>
      <c r="P345" s="215"/>
      <c r="Q345" s="216"/>
      <c r="R345" s="364"/>
      <c r="S345" s="365"/>
      <c r="T345" s="365"/>
      <c r="U345" s="365"/>
      <c r="V345" s="365"/>
      <c r="W345" s="365"/>
      <c r="X345" s="365"/>
      <c r="Y345" s="366"/>
      <c r="Z345" s="338">
        <f aca="true" t="shared" si="116" ref="Z345:Z351">IF(OR(AV$352=0,AV345=0),0,ROUNDDOWN(R345/R$352,4)*100)</f>
        <v>0</v>
      </c>
      <c r="AA345" s="338"/>
      <c r="AB345" s="338"/>
      <c r="AC345" s="338"/>
      <c r="AD345" s="338"/>
      <c r="AE345" s="364"/>
      <c r="AF345" s="365"/>
      <c r="AG345" s="365"/>
      <c r="AH345" s="365"/>
      <c r="AI345" s="365"/>
      <c r="AJ345" s="365"/>
      <c r="AK345" s="365"/>
      <c r="AL345" s="366"/>
      <c r="AM345" s="338">
        <f aca="true" t="shared" si="117" ref="AM345:AM351">IF(OR(AW$352=0,AW345=0),0,ROUNDDOWN(AE345/AE$352,4)*100)</f>
        <v>0</v>
      </c>
      <c r="AN345" s="338"/>
      <c r="AO345" s="338"/>
      <c r="AP345" s="338"/>
      <c r="AQ345" s="339"/>
      <c r="AR345" s="64" t="s">
        <v>211</v>
      </c>
      <c r="AS345" s="149">
        <f t="shared" si="115"/>
      </c>
      <c r="AV345" s="231">
        <f aca="true" t="shared" si="118" ref="AV345:AV352">IF(R345="-",0,R345)</f>
        <v>0</v>
      </c>
      <c r="AW345" s="231">
        <f aca="true" t="shared" si="119" ref="AW345:AW352">IF(AE345="-",0,AE345)</f>
        <v>0</v>
      </c>
      <c r="AY345" s="167">
        <v>1</v>
      </c>
      <c r="AZ345" s="168" t="str">
        <f aca="true" t="shared" si="120" ref="AZ345:AZ352">CONCATENATE(IF(OR(R345="",R345="-"),"無","有"),IF(OR(AE345="",AE345="-"),"無","有"))</f>
        <v>無無</v>
      </c>
      <c r="BA345" s="169">
        <f aca="true" t="shared" si="121" ref="BA345:BA352">IF(ISNA(VLOOKUP(AZ345,AZ$75:BA$91,2,FALSE))=TRUE,"",VLOOKUP(AZ345,AZ$75:BA$91,2,FALSE))</f>
      </c>
      <c r="BB345" s="170" t="s">
        <v>276</v>
      </c>
      <c r="BC345" s="171"/>
      <c r="BD345" s="168" t="str">
        <f aca="true" t="shared" si="122" ref="BD345:BD351">IF(AZ345="有有",IF(AW345/AV345&gt;BL345,"高額","ok"),"-")</f>
        <v>-</v>
      </c>
      <c r="BE345" s="178">
        <f aca="true" t="shared" si="123" ref="BE345:BE352">IF(ISNA(VLOOKUP(BD345,BD$75:BE$91,2,FALSE))=TRUE,"",VLOOKUP(BD345,BD$75:BE$91,2,FALSE))</f>
      </c>
      <c r="BF345" s="170" t="s">
        <v>276</v>
      </c>
      <c r="BG345" s="176"/>
      <c r="BH345" s="170" t="s">
        <v>276</v>
      </c>
      <c r="BI345" s="171"/>
      <c r="BJ345" s="192">
        <f aca="true" t="shared" si="124" ref="BJ345:BJ351">IF(AND(BA345="",BC345="",BE345="",BG345="",BI345=""),"","←")</f>
      </c>
      <c r="BK345" s="174">
        <f>IF(BK$343="表示",CONCATENATE(BJ345,BA345,BC345,BE345,BG345,BI345),"")</f>
      </c>
      <c r="BL345" s="225">
        <f aca="true" t="shared" si="125" ref="BL345:BL352">IF(Z$98="百万円",BM345,BN345)</f>
        <v>1000000000</v>
      </c>
      <c r="BM345" s="225">
        <v>1000000</v>
      </c>
      <c r="BN345" s="225">
        <v>1000000000</v>
      </c>
    </row>
    <row r="346" spans="5:66" ht="16.5" customHeight="1">
      <c r="E346" s="204"/>
      <c r="F346" s="25"/>
      <c r="G346" s="507" t="s">
        <v>196</v>
      </c>
      <c r="H346" s="507"/>
      <c r="I346" s="203" t="s">
        <v>170</v>
      </c>
      <c r="J346" s="203"/>
      <c r="K346" s="203"/>
      <c r="L346" s="203"/>
      <c r="M346" s="211" t="s">
        <v>197</v>
      </c>
      <c r="N346" s="203" t="s">
        <v>168</v>
      </c>
      <c r="O346" s="203"/>
      <c r="P346" s="203"/>
      <c r="Q346" s="203"/>
      <c r="R346" s="340"/>
      <c r="S346" s="341"/>
      <c r="T346" s="341"/>
      <c r="U346" s="341"/>
      <c r="V346" s="341"/>
      <c r="W346" s="341"/>
      <c r="X346" s="341"/>
      <c r="Y346" s="342"/>
      <c r="Z346" s="338">
        <f t="shared" si="116"/>
        <v>0</v>
      </c>
      <c r="AA346" s="338"/>
      <c r="AB346" s="338"/>
      <c r="AC346" s="338"/>
      <c r="AD346" s="338"/>
      <c r="AE346" s="340"/>
      <c r="AF346" s="341"/>
      <c r="AG346" s="341"/>
      <c r="AH346" s="341"/>
      <c r="AI346" s="341"/>
      <c r="AJ346" s="341"/>
      <c r="AK346" s="341"/>
      <c r="AL346" s="342"/>
      <c r="AM346" s="338">
        <f t="shared" si="117"/>
        <v>0</v>
      </c>
      <c r="AN346" s="338"/>
      <c r="AO346" s="338"/>
      <c r="AP346" s="338"/>
      <c r="AQ346" s="339"/>
      <c r="AR346" s="64" t="s">
        <v>211</v>
      </c>
      <c r="AS346" s="149">
        <f t="shared" si="115"/>
      </c>
      <c r="AV346" s="232">
        <f t="shared" si="118"/>
        <v>0</v>
      </c>
      <c r="AW346" s="232">
        <f t="shared" si="119"/>
        <v>0</v>
      </c>
      <c r="AY346" s="167">
        <v>2</v>
      </c>
      <c r="AZ346" s="172" t="str">
        <f t="shared" si="120"/>
        <v>無無</v>
      </c>
      <c r="BA346" s="169">
        <f t="shared" si="121"/>
      </c>
      <c r="BB346" s="175" t="s">
        <v>276</v>
      </c>
      <c r="BC346" s="176"/>
      <c r="BD346" s="172" t="str">
        <f t="shared" si="122"/>
        <v>-</v>
      </c>
      <c r="BE346" s="178">
        <f t="shared" si="123"/>
      </c>
      <c r="BF346" s="175" t="s">
        <v>276</v>
      </c>
      <c r="BG346" s="176"/>
      <c r="BH346" s="175" t="s">
        <v>276</v>
      </c>
      <c r="BI346" s="176"/>
      <c r="BJ346" s="192">
        <f t="shared" si="124"/>
      </c>
      <c r="BK346" s="189">
        <f aca="true" t="shared" si="126" ref="BK346:BK351">IF(BK$343="表示",CONCATENATE(BJ346,BA346,BC346,BE346,BG346,BI346),"")</f>
      </c>
      <c r="BL346" s="225">
        <f t="shared" si="125"/>
        <v>1000000000</v>
      </c>
      <c r="BM346" s="225">
        <v>1000000</v>
      </c>
      <c r="BN346" s="225">
        <v>1000000000</v>
      </c>
    </row>
    <row r="347" spans="5:66" ht="16.5" customHeight="1">
      <c r="E347" s="204"/>
      <c r="F347" s="25"/>
      <c r="G347" s="203"/>
      <c r="H347" s="211" t="s">
        <v>197</v>
      </c>
      <c r="I347" s="285" t="s">
        <v>198</v>
      </c>
      <c r="J347" s="285"/>
      <c r="K347" s="203"/>
      <c r="L347" s="203"/>
      <c r="M347" s="211" t="s">
        <v>199</v>
      </c>
      <c r="N347" s="285" t="s">
        <v>200</v>
      </c>
      <c r="O347" s="285"/>
      <c r="P347" s="285"/>
      <c r="Q347" s="203"/>
      <c r="R347" s="340"/>
      <c r="S347" s="341"/>
      <c r="T347" s="341"/>
      <c r="U347" s="341"/>
      <c r="V347" s="341"/>
      <c r="W347" s="341"/>
      <c r="X347" s="341"/>
      <c r="Y347" s="342"/>
      <c r="Z347" s="338">
        <f t="shared" si="116"/>
        <v>0</v>
      </c>
      <c r="AA347" s="338"/>
      <c r="AB347" s="338"/>
      <c r="AC347" s="338"/>
      <c r="AD347" s="338"/>
      <c r="AE347" s="340"/>
      <c r="AF347" s="341"/>
      <c r="AG347" s="341"/>
      <c r="AH347" s="341"/>
      <c r="AI347" s="341"/>
      <c r="AJ347" s="341"/>
      <c r="AK347" s="341"/>
      <c r="AL347" s="342"/>
      <c r="AM347" s="338">
        <f t="shared" si="117"/>
        <v>0</v>
      </c>
      <c r="AN347" s="338"/>
      <c r="AO347" s="338"/>
      <c r="AP347" s="338"/>
      <c r="AQ347" s="339"/>
      <c r="AR347" s="64" t="s">
        <v>211</v>
      </c>
      <c r="AS347" s="149">
        <f t="shared" si="115"/>
      </c>
      <c r="AV347" s="232">
        <f t="shared" si="118"/>
        <v>0</v>
      </c>
      <c r="AW347" s="232">
        <f t="shared" si="119"/>
        <v>0</v>
      </c>
      <c r="AY347" s="167">
        <v>3</v>
      </c>
      <c r="AZ347" s="172" t="str">
        <f t="shared" si="120"/>
        <v>無無</v>
      </c>
      <c r="BA347" s="169">
        <f t="shared" si="121"/>
      </c>
      <c r="BB347" s="175" t="s">
        <v>276</v>
      </c>
      <c r="BC347" s="176"/>
      <c r="BD347" s="172" t="str">
        <f t="shared" si="122"/>
        <v>-</v>
      </c>
      <c r="BE347" s="178">
        <f t="shared" si="123"/>
      </c>
      <c r="BF347" s="175" t="s">
        <v>276</v>
      </c>
      <c r="BG347" s="176"/>
      <c r="BH347" s="175" t="s">
        <v>276</v>
      </c>
      <c r="BI347" s="176"/>
      <c r="BJ347" s="192">
        <f t="shared" si="124"/>
      </c>
      <c r="BK347" s="189">
        <f t="shared" si="126"/>
      </c>
      <c r="BL347" s="225">
        <f t="shared" si="125"/>
        <v>1000000000</v>
      </c>
      <c r="BM347" s="225">
        <v>1000000</v>
      </c>
      <c r="BN347" s="225">
        <v>1000000000</v>
      </c>
    </row>
    <row r="348" spans="5:66" ht="16.5" customHeight="1">
      <c r="E348" s="204"/>
      <c r="F348" s="25"/>
      <c r="G348" s="203"/>
      <c r="H348" s="211" t="s">
        <v>199</v>
      </c>
      <c r="I348" s="285" t="s">
        <v>198</v>
      </c>
      <c r="J348" s="285"/>
      <c r="K348" s="203"/>
      <c r="L348" s="203"/>
      <c r="M348" s="211" t="s">
        <v>201</v>
      </c>
      <c r="N348" s="285" t="s">
        <v>200</v>
      </c>
      <c r="O348" s="285"/>
      <c r="P348" s="285"/>
      <c r="Q348" s="67"/>
      <c r="R348" s="340"/>
      <c r="S348" s="341"/>
      <c r="T348" s="341"/>
      <c r="U348" s="341"/>
      <c r="V348" s="341"/>
      <c r="W348" s="341"/>
      <c r="X348" s="341"/>
      <c r="Y348" s="342"/>
      <c r="Z348" s="338">
        <f t="shared" si="116"/>
        <v>0</v>
      </c>
      <c r="AA348" s="338"/>
      <c r="AB348" s="338"/>
      <c r="AC348" s="338"/>
      <c r="AD348" s="338"/>
      <c r="AE348" s="340"/>
      <c r="AF348" s="341"/>
      <c r="AG348" s="341"/>
      <c r="AH348" s="341"/>
      <c r="AI348" s="341"/>
      <c r="AJ348" s="341"/>
      <c r="AK348" s="341"/>
      <c r="AL348" s="342"/>
      <c r="AM348" s="338">
        <f t="shared" si="117"/>
        <v>0</v>
      </c>
      <c r="AN348" s="338"/>
      <c r="AO348" s="338"/>
      <c r="AP348" s="338"/>
      <c r="AQ348" s="339"/>
      <c r="AR348" s="64" t="s">
        <v>211</v>
      </c>
      <c r="AS348" s="149">
        <f t="shared" si="115"/>
      </c>
      <c r="AV348" s="232">
        <f t="shared" si="118"/>
        <v>0</v>
      </c>
      <c r="AW348" s="232">
        <f t="shared" si="119"/>
        <v>0</v>
      </c>
      <c r="AY348" s="167">
        <v>4</v>
      </c>
      <c r="AZ348" s="172" t="str">
        <f t="shared" si="120"/>
        <v>無無</v>
      </c>
      <c r="BA348" s="169">
        <f t="shared" si="121"/>
      </c>
      <c r="BB348" s="175" t="s">
        <v>276</v>
      </c>
      <c r="BC348" s="176"/>
      <c r="BD348" s="172" t="str">
        <f t="shared" si="122"/>
        <v>-</v>
      </c>
      <c r="BE348" s="178">
        <f t="shared" si="123"/>
      </c>
      <c r="BF348" s="175" t="s">
        <v>276</v>
      </c>
      <c r="BG348" s="176"/>
      <c r="BH348" s="175" t="s">
        <v>276</v>
      </c>
      <c r="BI348" s="176"/>
      <c r="BJ348" s="192">
        <f t="shared" si="124"/>
      </c>
      <c r="BK348" s="189">
        <f t="shared" si="126"/>
      </c>
      <c r="BL348" s="225">
        <f t="shared" si="125"/>
        <v>1000000000</v>
      </c>
      <c r="BM348" s="225">
        <v>1000000</v>
      </c>
      <c r="BN348" s="225">
        <v>1000000000</v>
      </c>
    </row>
    <row r="349" spans="5:66" ht="16.5" customHeight="1">
      <c r="E349" s="204"/>
      <c r="F349" s="25"/>
      <c r="G349" s="203"/>
      <c r="H349" s="211" t="s">
        <v>201</v>
      </c>
      <c r="I349" s="285" t="s">
        <v>198</v>
      </c>
      <c r="J349" s="285"/>
      <c r="K349" s="203"/>
      <c r="L349" s="203"/>
      <c r="M349" s="211" t="s">
        <v>202</v>
      </c>
      <c r="N349" s="285" t="s">
        <v>200</v>
      </c>
      <c r="O349" s="285"/>
      <c r="P349" s="285"/>
      <c r="Q349" s="203"/>
      <c r="R349" s="340"/>
      <c r="S349" s="341"/>
      <c r="T349" s="341"/>
      <c r="U349" s="341"/>
      <c r="V349" s="341"/>
      <c r="W349" s="341"/>
      <c r="X349" s="341"/>
      <c r="Y349" s="342"/>
      <c r="Z349" s="338">
        <f t="shared" si="116"/>
        <v>0</v>
      </c>
      <c r="AA349" s="338"/>
      <c r="AB349" s="338"/>
      <c r="AC349" s="338"/>
      <c r="AD349" s="338"/>
      <c r="AE349" s="340"/>
      <c r="AF349" s="341"/>
      <c r="AG349" s="341"/>
      <c r="AH349" s="341"/>
      <c r="AI349" s="341"/>
      <c r="AJ349" s="341"/>
      <c r="AK349" s="341"/>
      <c r="AL349" s="342"/>
      <c r="AM349" s="338">
        <f t="shared" si="117"/>
        <v>0</v>
      </c>
      <c r="AN349" s="338"/>
      <c r="AO349" s="338"/>
      <c r="AP349" s="338"/>
      <c r="AQ349" s="339"/>
      <c r="AR349" s="64" t="s">
        <v>211</v>
      </c>
      <c r="AS349" s="149">
        <f t="shared" si="115"/>
      </c>
      <c r="AV349" s="232">
        <f t="shared" si="118"/>
        <v>0</v>
      </c>
      <c r="AW349" s="232">
        <f t="shared" si="119"/>
        <v>0</v>
      </c>
      <c r="AY349" s="167">
        <v>5</v>
      </c>
      <c r="AZ349" s="172" t="str">
        <f t="shared" si="120"/>
        <v>無無</v>
      </c>
      <c r="BA349" s="169">
        <f t="shared" si="121"/>
      </c>
      <c r="BB349" s="175" t="s">
        <v>276</v>
      </c>
      <c r="BC349" s="176"/>
      <c r="BD349" s="172" t="str">
        <f t="shared" si="122"/>
        <v>-</v>
      </c>
      <c r="BE349" s="178">
        <f t="shared" si="123"/>
      </c>
      <c r="BF349" s="175" t="s">
        <v>276</v>
      </c>
      <c r="BG349" s="176"/>
      <c r="BH349" s="175" t="s">
        <v>276</v>
      </c>
      <c r="BI349" s="176"/>
      <c r="BJ349" s="192">
        <f t="shared" si="124"/>
      </c>
      <c r="BK349" s="189">
        <f t="shared" si="126"/>
      </c>
      <c r="BL349" s="225">
        <f t="shared" si="125"/>
        <v>1000000000</v>
      </c>
      <c r="BM349" s="225">
        <v>1000000</v>
      </c>
      <c r="BN349" s="225">
        <v>1000000000</v>
      </c>
    </row>
    <row r="350" spans="5:66" ht="16.5" customHeight="1">
      <c r="E350" s="204"/>
      <c r="F350" s="25"/>
      <c r="G350" s="211"/>
      <c r="H350" s="211" t="s">
        <v>202</v>
      </c>
      <c r="I350" s="285" t="s">
        <v>198</v>
      </c>
      <c r="J350" s="285"/>
      <c r="K350" s="203"/>
      <c r="L350" s="44"/>
      <c r="M350" s="211" t="s">
        <v>28</v>
      </c>
      <c r="N350" s="285" t="s">
        <v>200</v>
      </c>
      <c r="O350" s="285"/>
      <c r="P350" s="285"/>
      <c r="Q350" s="203"/>
      <c r="R350" s="340"/>
      <c r="S350" s="341"/>
      <c r="T350" s="341"/>
      <c r="U350" s="341"/>
      <c r="V350" s="341"/>
      <c r="W350" s="341"/>
      <c r="X350" s="341"/>
      <c r="Y350" s="342"/>
      <c r="Z350" s="338">
        <f t="shared" si="116"/>
        <v>0</v>
      </c>
      <c r="AA350" s="338"/>
      <c r="AB350" s="338"/>
      <c r="AC350" s="338"/>
      <c r="AD350" s="338"/>
      <c r="AE350" s="340"/>
      <c r="AF350" s="341"/>
      <c r="AG350" s="341"/>
      <c r="AH350" s="341"/>
      <c r="AI350" s="341"/>
      <c r="AJ350" s="341"/>
      <c r="AK350" s="341"/>
      <c r="AL350" s="342"/>
      <c r="AM350" s="338">
        <f t="shared" si="117"/>
        <v>0</v>
      </c>
      <c r="AN350" s="338"/>
      <c r="AO350" s="338"/>
      <c r="AP350" s="338"/>
      <c r="AQ350" s="339"/>
      <c r="AR350" s="64" t="s">
        <v>211</v>
      </c>
      <c r="AS350" s="149">
        <f t="shared" si="115"/>
      </c>
      <c r="AV350" s="232">
        <f t="shared" si="118"/>
        <v>0</v>
      </c>
      <c r="AW350" s="232">
        <f t="shared" si="119"/>
        <v>0</v>
      </c>
      <c r="AY350" s="167">
        <v>6</v>
      </c>
      <c r="AZ350" s="172" t="str">
        <f t="shared" si="120"/>
        <v>無無</v>
      </c>
      <c r="BA350" s="169">
        <f t="shared" si="121"/>
      </c>
      <c r="BB350" s="175" t="s">
        <v>276</v>
      </c>
      <c r="BC350" s="176"/>
      <c r="BD350" s="172" t="str">
        <f t="shared" si="122"/>
        <v>-</v>
      </c>
      <c r="BE350" s="178">
        <f t="shared" si="123"/>
      </c>
      <c r="BF350" s="175" t="s">
        <v>276</v>
      </c>
      <c r="BG350" s="176"/>
      <c r="BH350" s="175" t="s">
        <v>276</v>
      </c>
      <c r="BI350" s="176"/>
      <c r="BJ350" s="192">
        <f t="shared" si="124"/>
      </c>
      <c r="BK350" s="189">
        <f t="shared" si="126"/>
      </c>
      <c r="BL350" s="225">
        <f t="shared" si="125"/>
        <v>1000000000</v>
      </c>
      <c r="BM350" s="225">
        <v>1000000</v>
      </c>
      <c r="BN350" s="225">
        <v>1000000000</v>
      </c>
    </row>
    <row r="351" spans="5:66" ht="16.5" customHeight="1">
      <c r="E351" s="204"/>
      <c r="F351" s="27"/>
      <c r="G351" s="21"/>
      <c r="H351" s="38" t="s">
        <v>203</v>
      </c>
      <c r="I351" s="343" t="s">
        <v>198</v>
      </c>
      <c r="J351" s="343"/>
      <c r="K351" s="21"/>
      <c r="L351" s="21"/>
      <c r="M351" s="38"/>
      <c r="N351" s="343"/>
      <c r="O351" s="343"/>
      <c r="P351" s="343"/>
      <c r="Q351" s="21"/>
      <c r="R351" s="412"/>
      <c r="S351" s="413"/>
      <c r="T351" s="413"/>
      <c r="U351" s="413"/>
      <c r="V351" s="413"/>
      <c r="W351" s="413"/>
      <c r="X351" s="413"/>
      <c r="Y351" s="414"/>
      <c r="Z351" s="338">
        <f t="shared" si="116"/>
        <v>0</v>
      </c>
      <c r="AA351" s="338"/>
      <c r="AB351" s="338"/>
      <c r="AC351" s="338"/>
      <c r="AD351" s="338"/>
      <c r="AE351" s="419"/>
      <c r="AF351" s="420"/>
      <c r="AG351" s="420"/>
      <c r="AH351" s="420"/>
      <c r="AI351" s="420"/>
      <c r="AJ351" s="420"/>
      <c r="AK351" s="420"/>
      <c r="AL351" s="421"/>
      <c r="AM351" s="338">
        <f t="shared" si="117"/>
        <v>0</v>
      </c>
      <c r="AN351" s="338"/>
      <c r="AO351" s="338"/>
      <c r="AP351" s="338"/>
      <c r="AQ351" s="339"/>
      <c r="AR351" s="64" t="s">
        <v>211</v>
      </c>
      <c r="AS351" s="149">
        <f t="shared" si="115"/>
      </c>
      <c r="AV351" s="253">
        <f t="shared" si="118"/>
        <v>0</v>
      </c>
      <c r="AW351" s="253">
        <f t="shared" si="119"/>
        <v>0</v>
      </c>
      <c r="AY351" s="167">
        <v>7</v>
      </c>
      <c r="AZ351" s="172" t="str">
        <f t="shared" si="120"/>
        <v>無無</v>
      </c>
      <c r="BA351" s="169">
        <f t="shared" si="121"/>
      </c>
      <c r="BB351" s="175" t="s">
        <v>276</v>
      </c>
      <c r="BC351" s="176"/>
      <c r="BD351" s="172" t="str">
        <f t="shared" si="122"/>
        <v>-</v>
      </c>
      <c r="BE351" s="178">
        <f t="shared" si="123"/>
      </c>
      <c r="BF351" s="175" t="s">
        <v>276</v>
      </c>
      <c r="BG351" s="176"/>
      <c r="BH351" s="175" t="s">
        <v>276</v>
      </c>
      <c r="BI351" s="176"/>
      <c r="BJ351" s="192">
        <f t="shared" si="124"/>
      </c>
      <c r="BK351" s="189">
        <f t="shared" si="126"/>
      </c>
      <c r="BL351" s="225">
        <f t="shared" si="125"/>
        <v>1000000000</v>
      </c>
      <c r="BM351" s="225">
        <v>1000000</v>
      </c>
      <c r="BN351" s="225">
        <v>1000000000</v>
      </c>
    </row>
    <row r="352" spans="5:66" ht="16.5" customHeight="1" thickBot="1">
      <c r="E352" s="204"/>
      <c r="F352" s="28"/>
      <c r="G352" s="29"/>
      <c r="H352" s="36"/>
      <c r="I352" s="401" t="s">
        <v>204</v>
      </c>
      <c r="J352" s="401"/>
      <c r="K352" s="401"/>
      <c r="L352" s="401"/>
      <c r="M352" s="401"/>
      <c r="N352" s="401"/>
      <c r="O352" s="29"/>
      <c r="P352" s="29"/>
      <c r="Q352" s="29"/>
      <c r="R352" s="348" t="str">
        <f>R332</f>
        <v>-</v>
      </c>
      <c r="S352" s="349"/>
      <c r="T352" s="349"/>
      <c r="U352" s="349"/>
      <c r="V352" s="349"/>
      <c r="W352" s="349"/>
      <c r="X352" s="349"/>
      <c r="Y352" s="350"/>
      <c r="Z352" s="409">
        <v>100</v>
      </c>
      <c r="AA352" s="409"/>
      <c r="AB352" s="409"/>
      <c r="AC352" s="409"/>
      <c r="AD352" s="409"/>
      <c r="AE352" s="348" t="str">
        <f>AE332</f>
        <v>-</v>
      </c>
      <c r="AF352" s="349"/>
      <c r="AG352" s="349"/>
      <c r="AH352" s="349"/>
      <c r="AI352" s="349"/>
      <c r="AJ352" s="349"/>
      <c r="AK352" s="349"/>
      <c r="AL352" s="350"/>
      <c r="AM352" s="409">
        <v>100</v>
      </c>
      <c r="AN352" s="409"/>
      <c r="AO352" s="409"/>
      <c r="AP352" s="409"/>
      <c r="AQ352" s="410"/>
      <c r="AR352" s="64" t="s">
        <v>211</v>
      </c>
      <c r="AS352" s="149">
        <f t="shared" si="115"/>
      </c>
      <c r="AV352" s="234">
        <f t="shared" si="118"/>
        <v>0</v>
      </c>
      <c r="AW352" s="234">
        <f t="shared" si="119"/>
        <v>0</v>
      </c>
      <c r="AY352" s="167">
        <v>8</v>
      </c>
      <c r="AZ352" s="179" t="str">
        <f t="shared" si="120"/>
        <v>無無</v>
      </c>
      <c r="BA352" s="169">
        <f t="shared" si="121"/>
      </c>
      <c r="BB352" s="179" t="str">
        <f>CONCATENATE(IF(AV352=SUM(AV345:AV351),"合","不"),IF(AND(SUM(AW345:AW351)&lt;=AW352,AW352&lt;=(SUM(AW345:AW351)+7)),"合","不"))</f>
        <v>合合</v>
      </c>
      <c r="BC352" s="178">
        <f>IF(ISNA(VLOOKUP(BB352,BB$75:BC$91,2,FALSE))=TRUE,"",VLOOKUP(BB352,BB$75:BC$91,2,FALSE))</f>
      </c>
      <c r="BD352" s="179" t="str">
        <f>IF(AZ352="有有",IF(AW352/AV352&gt;BL352,"高額","ok"),"-")</f>
        <v>-</v>
      </c>
      <c r="BE352" s="178">
        <f t="shared" si="123"/>
      </c>
      <c r="BF352" s="180" t="s">
        <v>276</v>
      </c>
      <c r="BG352" s="176"/>
      <c r="BH352" s="179" t="str">
        <f>IF(BG353=0,IF(R352=Q$103,IF(AE352=Z$103,"正正事","正誤事"),IF(AE352=Z$103,"誤正事","誤誤事")),"-")</f>
        <v>正正事</v>
      </c>
      <c r="BI352" s="178">
        <f>IF(ISNA(VLOOKUP(BH352,BH$75:BI$91,2,FALSE))=TRUE,"",VLOOKUP(BH352,BH$75:BI$91,2,FALSE))</f>
      </c>
      <c r="BJ352" s="192">
        <f>IF(AND(BA352="",BC352="",BE352="",BG352="",BI352=""),"","←")</f>
      </c>
      <c r="BK352" s="220">
        <f>IF(BK$343="表示",CONCATENATE(BJ352,BA352,BC352,BE352,BG352,BI352),"")</f>
      </c>
      <c r="BL352" s="225">
        <f t="shared" si="125"/>
        <v>1000000000</v>
      </c>
      <c r="BM352" s="225">
        <v>1000000</v>
      </c>
      <c r="BN352" s="225">
        <v>1000000000</v>
      </c>
    </row>
    <row r="353" spans="5:63" ht="16.5" customHeight="1" thickBot="1">
      <c r="E353" s="204"/>
      <c r="F353" s="148"/>
      <c r="G353" s="148"/>
      <c r="H353" s="148"/>
      <c r="I353" s="148"/>
      <c r="J353" s="148"/>
      <c r="K353" s="148"/>
      <c r="L353" s="148"/>
      <c r="M353" s="148"/>
      <c r="N353" s="148"/>
      <c r="O353" s="148"/>
      <c r="P353" s="148"/>
      <c r="Q353" s="148"/>
      <c r="R353" s="148"/>
      <c r="S353" s="148"/>
      <c r="T353" s="148"/>
      <c r="U353" s="148"/>
      <c r="V353" s="148"/>
      <c r="W353" s="204"/>
      <c r="X353" s="148"/>
      <c r="Y353" s="148"/>
      <c r="Z353" s="148"/>
      <c r="AA353" s="148"/>
      <c r="AB353" s="148"/>
      <c r="AC353" s="148"/>
      <c r="AD353" s="148"/>
      <c r="AE353" s="148"/>
      <c r="AF353" s="148"/>
      <c r="AG353" s="148"/>
      <c r="AH353" s="148"/>
      <c r="AI353" s="148"/>
      <c r="AJ353" s="148"/>
      <c r="AK353" s="148"/>
      <c r="AL353" s="148"/>
      <c r="AM353" s="148"/>
      <c r="AN353" s="148"/>
      <c r="AO353" s="204"/>
      <c r="AP353" s="204"/>
      <c r="AQ353" s="204"/>
      <c r="AR353" s="204"/>
      <c r="AZ353" s="184">
        <f>COUNTIF(AZ345:AZ352,"無無")</f>
        <v>8</v>
      </c>
      <c r="BA353" s="182" t="str">
        <f>IF(AZ353=AY352,"｢該当なし」","")</f>
        <v>｢該当なし」</v>
      </c>
      <c r="BF353" s="181" t="s">
        <v>424</v>
      </c>
      <c r="BG353" s="164">
        <f>(4*AY352)-(COUNTIF(BA345:BA352,"")+COUNTIF(BC345:BC352,"")+COUNTIF(BE345:BE352,"")+COUNTIF(BG345:BG352,""))</f>
        <v>0</v>
      </c>
      <c r="BH353" s="153"/>
      <c r="BI353" s="153"/>
      <c r="BJ353" s="181" t="s">
        <v>425</v>
      </c>
      <c r="BK353" s="164">
        <f>AY352-COUNTIF(BJ345:BJ352,"")</f>
        <v>0</v>
      </c>
    </row>
    <row r="354" spans="5:44" ht="16.5" customHeight="1">
      <c r="E354" s="204"/>
      <c r="F354" s="204" t="s">
        <v>55</v>
      </c>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row>
    <row r="355" spans="5:44" ht="16.5" customHeight="1">
      <c r="E355" s="204"/>
      <c r="F355" s="204"/>
      <c r="G355" s="204" t="s">
        <v>193</v>
      </c>
      <c r="I355" s="148"/>
      <c r="J355" s="204"/>
      <c r="K355" s="204"/>
      <c r="L355" s="204"/>
      <c r="M355" s="8"/>
      <c r="N355" s="8"/>
      <c r="O355" s="8"/>
      <c r="P355" s="8"/>
      <c r="Q355" s="8"/>
      <c r="R355" s="8"/>
      <c r="S355" s="8"/>
      <c r="T355" s="8"/>
      <c r="U355" s="8"/>
      <c r="V355" s="8"/>
      <c r="W355" s="8"/>
      <c r="X355" s="8"/>
      <c r="Y355" s="204"/>
      <c r="Z355" s="204"/>
      <c r="AA355" s="204"/>
      <c r="AB355" s="204"/>
      <c r="AC355" s="204"/>
      <c r="AD355" s="204"/>
      <c r="AE355" s="204"/>
      <c r="AF355" s="204"/>
      <c r="AG355" s="204"/>
      <c r="AH355" s="204"/>
      <c r="AI355" s="204"/>
      <c r="AJ355" s="204"/>
      <c r="AK355" s="204"/>
      <c r="AL355" s="204"/>
      <c r="AM355" s="204"/>
      <c r="AN355" s="204"/>
      <c r="AO355" s="204"/>
      <c r="AP355" s="204"/>
      <c r="AQ355" s="204"/>
      <c r="AR355" s="204"/>
    </row>
    <row r="356" spans="5:44" ht="16.5" customHeight="1">
      <c r="E356" s="204"/>
      <c r="F356" s="204"/>
      <c r="G356" s="204"/>
      <c r="H356" s="204"/>
      <c r="I356" s="148"/>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row>
    <row r="357" spans="5:44" ht="16.5" customHeight="1">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row>
    <row r="358" spans="5:44" ht="16.5" customHeight="1">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row>
    <row r="359" spans="5:46" ht="16.5" customHeight="1">
      <c r="E359" s="148"/>
      <c r="F359" s="150" t="str">
        <f>IF(BK370=0,"12　消費者向無担保貸付金の新規契約状況等","12．消費者向無担保貸付金の新規契約状況等")</f>
        <v>12　消費者向無担保貸付金の新規契約状況等</v>
      </c>
      <c r="G359" s="148"/>
      <c r="H359" s="148"/>
      <c r="I359" s="148"/>
      <c r="J359" s="148"/>
      <c r="K359" s="148"/>
      <c r="L359" s="148"/>
      <c r="M359" s="148"/>
      <c r="N359" s="148"/>
      <c r="O359" s="148"/>
      <c r="P359" s="148"/>
      <c r="Q359" s="148"/>
      <c r="R359" s="148"/>
      <c r="S359" s="148"/>
      <c r="T359" s="148"/>
      <c r="U359" s="148"/>
      <c r="V359" s="148"/>
      <c r="W359" s="148"/>
      <c r="X359" s="148"/>
      <c r="Y359" s="143"/>
      <c r="Z359" s="148"/>
      <c r="AA359" s="148"/>
      <c r="AB359" s="148"/>
      <c r="AC359" s="148"/>
      <c r="AD359" s="148"/>
      <c r="AE359" s="148"/>
      <c r="AF359" s="148"/>
      <c r="AG359" s="148"/>
      <c r="AH359" s="148"/>
      <c r="AI359" s="148"/>
      <c r="AJ359" s="148"/>
      <c r="AK359" s="148"/>
      <c r="AL359" s="148"/>
      <c r="AM359" s="148"/>
      <c r="AN359" s="148"/>
      <c r="AO359" s="148"/>
      <c r="AP359" s="148"/>
      <c r="AQ359" s="148"/>
      <c r="AR359" s="148"/>
      <c r="AT359" s="163" t="str">
        <f>IF(BK370=0,"（表12）エラーなし","！（表12）エラー情報あり")</f>
        <v>（表12）エラーなし</v>
      </c>
    </row>
    <row r="360" spans="5:44" ht="7.5" customHeight="1">
      <c r="E360" s="204"/>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204"/>
      <c r="AP360" s="204"/>
      <c r="AQ360" s="204"/>
      <c r="AR360" s="204"/>
    </row>
    <row r="361" spans="5:44" ht="16.5" customHeight="1" thickBot="1">
      <c r="E361" s="204"/>
      <c r="F361" s="148" t="s">
        <v>0</v>
      </c>
      <c r="G361" s="148"/>
      <c r="H361" s="148"/>
      <c r="I361" s="148"/>
      <c r="J361" s="148"/>
      <c r="K361" s="148"/>
      <c r="L361" s="148"/>
      <c r="M361" s="148"/>
      <c r="N361" s="148"/>
      <c r="O361" s="148"/>
      <c r="P361" s="148"/>
      <c r="Q361" s="148"/>
      <c r="R361" s="148"/>
      <c r="S361" s="148"/>
      <c r="T361" s="148"/>
      <c r="U361" s="148"/>
      <c r="V361" s="148"/>
      <c r="W361" s="148"/>
      <c r="X361" s="148"/>
      <c r="Y361" s="72"/>
      <c r="Z361" s="148"/>
      <c r="AA361" s="148"/>
      <c r="AB361" s="148"/>
      <c r="AC361" s="148"/>
      <c r="AD361" s="148"/>
      <c r="AE361" s="148"/>
      <c r="AF361" s="148"/>
      <c r="AG361" s="148"/>
      <c r="AH361" s="148"/>
      <c r="AI361" s="148"/>
      <c r="AJ361" s="148"/>
      <c r="AK361" s="148"/>
      <c r="AL361" s="148"/>
      <c r="AM361" s="148"/>
      <c r="AN361" s="148"/>
      <c r="AO361" s="204"/>
      <c r="AP361" s="204"/>
      <c r="AQ361" s="204"/>
      <c r="AR361" s="204"/>
    </row>
    <row r="362" spans="5:63" ht="16.5" customHeight="1" thickBot="1" thickTop="1">
      <c r="E362" s="204"/>
      <c r="F362" s="367" t="s">
        <v>1</v>
      </c>
      <c r="G362" s="368"/>
      <c r="H362" s="368"/>
      <c r="I362" s="368"/>
      <c r="J362" s="368"/>
      <c r="K362" s="368"/>
      <c r="L362" s="368"/>
      <c r="M362" s="368"/>
      <c r="N362" s="368"/>
      <c r="O362" s="404"/>
      <c r="P362" s="396" t="s">
        <v>2</v>
      </c>
      <c r="Q362" s="396"/>
      <c r="R362" s="396"/>
      <c r="S362" s="396"/>
      <c r="T362" s="396"/>
      <c r="U362" s="396"/>
      <c r="V362" s="396"/>
      <c r="W362" s="396"/>
      <c r="X362" s="396"/>
      <c r="Y362" s="396"/>
      <c r="Z362" s="46"/>
      <c r="AA362" s="12"/>
      <c r="AB362" s="12"/>
      <c r="AC362" s="12"/>
      <c r="AD362" s="12"/>
      <c r="AE362" s="12"/>
      <c r="AF362" s="12"/>
      <c r="AG362" s="12"/>
      <c r="AH362" s="12"/>
      <c r="AI362" s="12"/>
      <c r="AJ362" s="12"/>
      <c r="AK362" s="12"/>
      <c r="AL362" s="12"/>
      <c r="AM362" s="12"/>
      <c r="AN362" s="12"/>
      <c r="AO362" s="12"/>
      <c r="AP362" s="12"/>
      <c r="AQ362" s="204"/>
      <c r="AR362" s="204"/>
      <c r="AZ362" s="277" t="s">
        <v>354</v>
      </c>
      <c r="BA362" s="277"/>
      <c r="BB362" s="277" t="s">
        <v>355</v>
      </c>
      <c r="BC362" s="277"/>
      <c r="BD362" s="277" t="s">
        <v>408</v>
      </c>
      <c r="BE362" s="277"/>
      <c r="BF362" s="277" t="s">
        <v>409</v>
      </c>
      <c r="BG362" s="277"/>
      <c r="BH362" s="303" t="s">
        <v>469</v>
      </c>
      <c r="BI362" s="303"/>
      <c r="BJ362" s="156"/>
      <c r="BK362" s="222" t="s">
        <v>439</v>
      </c>
    </row>
    <row r="363" spans="5:66" ht="16.5" customHeight="1" thickBot="1" thickTop="1">
      <c r="E363" s="204"/>
      <c r="F363" s="369"/>
      <c r="G363" s="370"/>
      <c r="H363" s="370"/>
      <c r="I363" s="370"/>
      <c r="J363" s="370"/>
      <c r="K363" s="370"/>
      <c r="L363" s="370"/>
      <c r="M363" s="370"/>
      <c r="N363" s="370"/>
      <c r="O363" s="405"/>
      <c r="P363" s="399"/>
      <c r="Q363" s="399"/>
      <c r="R363" s="399"/>
      <c r="S363" s="399"/>
      <c r="T363" s="399"/>
      <c r="U363" s="399"/>
      <c r="V363" s="399"/>
      <c r="W363" s="399"/>
      <c r="X363" s="508"/>
      <c r="Y363" s="508"/>
      <c r="Z363" s="47"/>
      <c r="AA363" s="148"/>
      <c r="AB363" s="148"/>
      <c r="AC363" s="148"/>
      <c r="AD363" s="148"/>
      <c r="AE363" s="148"/>
      <c r="AF363" s="148"/>
      <c r="AG363" s="148"/>
      <c r="AH363" s="148"/>
      <c r="AI363" s="148"/>
      <c r="AJ363" s="148"/>
      <c r="AK363" s="148"/>
      <c r="AL363" s="148"/>
      <c r="AM363" s="148"/>
      <c r="AN363" s="148"/>
      <c r="AO363" s="148"/>
      <c r="AP363" s="148"/>
      <c r="AQ363" s="204"/>
      <c r="AR363" s="204"/>
      <c r="AS363" s="149">
        <f>BK363</f>
      </c>
      <c r="AV363" s="155" t="s">
        <v>437</v>
      </c>
      <c r="AW363" s="155" t="s">
        <v>438</v>
      </c>
      <c r="AZ363" s="199" t="s">
        <v>410</v>
      </c>
      <c r="BA363" s="198" t="s">
        <v>353</v>
      </c>
      <c r="BB363" s="199" t="s">
        <v>410</v>
      </c>
      <c r="BC363" s="198" t="s">
        <v>353</v>
      </c>
      <c r="BD363" s="199" t="s">
        <v>410</v>
      </c>
      <c r="BE363" s="198" t="s">
        <v>353</v>
      </c>
      <c r="BF363" s="199" t="s">
        <v>410</v>
      </c>
      <c r="BG363" s="198" t="s">
        <v>353</v>
      </c>
      <c r="BH363" s="199" t="s">
        <v>410</v>
      </c>
      <c r="BI363" s="198" t="s">
        <v>353</v>
      </c>
      <c r="BJ363" s="159"/>
      <c r="BK363" s="221">
        <f>IF(BK362="表示","　　（↓エラー情報↓）","")</f>
      </c>
      <c r="BL363" s="155" t="s">
        <v>427</v>
      </c>
      <c r="BM363" s="155" t="s">
        <v>296</v>
      </c>
      <c r="BN363" s="155" t="s">
        <v>426</v>
      </c>
    </row>
    <row r="364" spans="5:66" ht="16.5" customHeight="1">
      <c r="E364" s="148"/>
      <c r="F364" s="48"/>
      <c r="G364" s="358" t="s">
        <v>3</v>
      </c>
      <c r="H364" s="358"/>
      <c r="I364" s="358"/>
      <c r="J364" s="358"/>
      <c r="K364" s="358"/>
      <c r="L364" s="358"/>
      <c r="M364" s="358"/>
      <c r="N364" s="358"/>
      <c r="O364" s="208"/>
      <c r="P364" s="364"/>
      <c r="Q364" s="365"/>
      <c r="R364" s="365"/>
      <c r="S364" s="365"/>
      <c r="T364" s="365"/>
      <c r="U364" s="365"/>
      <c r="V364" s="365"/>
      <c r="W364" s="366"/>
      <c r="X364" s="511" t="s">
        <v>297</v>
      </c>
      <c r="Y364" s="512"/>
      <c r="Z364" s="49"/>
      <c r="AA364" s="64" t="s">
        <v>211</v>
      </c>
      <c r="AD364" s="49"/>
      <c r="AE364" s="49"/>
      <c r="AF364" s="49"/>
      <c r="AG364" s="49"/>
      <c r="AH364" s="49"/>
      <c r="AI364" s="49"/>
      <c r="AJ364" s="49"/>
      <c r="AK364" s="49"/>
      <c r="AL364" s="49"/>
      <c r="AM364" s="49"/>
      <c r="AN364" s="49"/>
      <c r="AO364" s="49"/>
      <c r="AP364" s="49"/>
      <c r="AQ364" s="148"/>
      <c r="AR364" s="148"/>
      <c r="AS364" s="149">
        <f>BK364</f>
      </c>
      <c r="AV364" s="231">
        <f>IF(P364="-",0,P364)</f>
        <v>0</v>
      </c>
      <c r="AW364" s="254"/>
      <c r="AY364" s="167">
        <v>1</v>
      </c>
      <c r="AZ364" s="260" t="str">
        <f>IF(OR(P364="",P364="-"),IF(OR(P365="",P365="-"),"無無","申無"),IF(OR(P365="",P365="-"),"↓","有有"))</f>
        <v>無無</v>
      </c>
      <c r="BA364" s="169">
        <f aca="true" t="shared" si="127" ref="BA364:BA369">IF(ISNA(VLOOKUP(AZ364,AZ$75:BA$91,2,FALSE))=TRUE,"",VLOOKUP(AZ364,AZ$75:BA$91,2,FALSE))</f>
      </c>
      <c r="BB364" s="170" t="s">
        <v>276</v>
      </c>
      <c r="BC364" s="171"/>
      <c r="BD364" s="170" t="s">
        <v>276</v>
      </c>
      <c r="BE364" s="171"/>
      <c r="BF364" s="170" t="s">
        <v>276</v>
      </c>
      <c r="BG364" s="176"/>
      <c r="BH364" s="257" t="str">
        <f>IF(AND(BG370=0,AZ364="有有"),IF(P365&lt;=P364,"正正","↓"),"-")</f>
        <v>-</v>
      </c>
      <c r="BI364" s="178">
        <f aca="true" t="shared" si="128" ref="BI364:BI369">IF(ISNA(VLOOKUP(BH364,BH$75:BI$91,2,FALSE))=TRUE,"",VLOOKUP(BH364,BH$75:BI$91,2,FALSE))</f>
      </c>
      <c r="BJ364" s="192">
        <f aca="true" t="shared" si="129" ref="BJ364:BJ369">IF(AND(BA364="",BC364="",BE364="",BG364="",BI364=""),"","←")</f>
      </c>
      <c r="BK364" s="174">
        <f aca="true" t="shared" si="130" ref="BK364:BK369">IF(BK$362="表示",CONCATENATE(BJ364,BA364,BC364,BE364,BG364,BI364),"")</f>
      </c>
      <c r="BL364" s="225">
        <f aca="true" t="shared" si="131" ref="BL364:BL369">IF(Z$98="百万円",BM364,BN364)</f>
        <v>1000000000</v>
      </c>
      <c r="BM364" s="225">
        <v>1000000</v>
      </c>
      <c r="BN364" s="225">
        <v>1000000000</v>
      </c>
    </row>
    <row r="365" spans="5:66" ht="16.5" customHeight="1" thickBot="1">
      <c r="E365" s="148"/>
      <c r="F365" s="50"/>
      <c r="G365" s="359" t="s">
        <v>4</v>
      </c>
      <c r="H365" s="359"/>
      <c r="I365" s="359"/>
      <c r="J365" s="359"/>
      <c r="K365" s="359"/>
      <c r="L365" s="359"/>
      <c r="M365" s="359"/>
      <c r="N365" s="359"/>
      <c r="O365" s="51"/>
      <c r="P365" s="345"/>
      <c r="Q365" s="346"/>
      <c r="R365" s="346"/>
      <c r="S365" s="346"/>
      <c r="T365" s="346"/>
      <c r="U365" s="346"/>
      <c r="V365" s="346"/>
      <c r="W365" s="347"/>
      <c r="X365" s="515" t="s">
        <v>297</v>
      </c>
      <c r="Y365" s="516"/>
      <c r="Z365" s="49"/>
      <c r="AA365" s="64" t="s">
        <v>211</v>
      </c>
      <c r="AD365" s="49"/>
      <c r="AE365" s="49"/>
      <c r="AF365" s="49"/>
      <c r="AG365" s="49"/>
      <c r="AH365" s="49"/>
      <c r="AI365" s="49"/>
      <c r="AJ365" s="49"/>
      <c r="AK365" s="49"/>
      <c r="AL365" s="49"/>
      <c r="AM365" s="49"/>
      <c r="AN365" s="49"/>
      <c r="AO365" s="49"/>
      <c r="AP365" s="49"/>
      <c r="AQ365" s="148"/>
      <c r="AR365" s="148"/>
      <c r="AS365" s="149">
        <f>BK365</f>
      </c>
      <c r="AV365" s="232">
        <f>IF(P365="-",0,P365)</f>
        <v>0</v>
      </c>
      <c r="AW365" s="255"/>
      <c r="AY365" s="167">
        <v>2</v>
      </c>
      <c r="AZ365" s="260" t="str">
        <f>IF(OR(P364="",P364="-"),IF(OR(P365="",P365="-"),"無無","↑"),IF(P365="","数無","有有"))</f>
        <v>無無</v>
      </c>
      <c r="BA365" s="169">
        <f t="shared" si="127"/>
      </c>
      <c r="BB365" s="175" t="s">
        <v>276</v>
      </c>
      <c r="BC365" s="176"/>
      <c r="BD365" s="175" t="s">
        <v>276</v>
      </c>
      <c r="BE365" s="176"/>
      <c r="BF365" s="175" t="s">
        <v>276</v>
      </c>
      <c r="BG365" s="176"/>
      <c r="BH365" s="260" t="str">
        <f>IF(AND(BG370=0,AZ365="有有"),IF(OR(P365="-",P365&lt;=P364),"正正","正契大"),"-")</f>
        <v>-</v>
      </c>
      <c r="BI365" s="178">
        <f t="shared" si="128"/>
      </c>
      <c r="BJ365" s="192">
        <f t="shared" si="129"/>
      </c>
      <c r="BK365" s="189">
        <f t="shared" si="130"/>
      </c>
      <c r="BL365" s="225">
        <f t="shared" si="131"/>
        <v>1000000000</v>
      </c>
      <c r="BM365" s="225">
        <v>1000000</v>
      </c>
      <c r="BN365" s="225">
        <v>1000000000</v>
      </c>
    </row>
    <row r="366" spans="5:66" ht="16.5" customHeight="1">
      <c r="E366" s="204"/>
      <c r="F366" s="52"/>
      <c r="G366" s="391" t="s">
        <v>5</v>
      </c>
      <c r="H366" s="391"/>
      <c r="I366" s="391"/>
      <c r="J366" s="391"/>
      <c r="K366" s="391"/>
      <c r="L366" s="391"/>
      <c r="M366" s="391"/>
      <c r="N366" s="391"/>
      <c r="O366" s="53"/>
      <c r="P366" s="344">
        <f>IF(OR(AV364=0,AV365=0),"",ROUNDDOWN(AV365/AV364*100,2))</f>
      </c>
      <c r="Q366" s="344"/>
      <c r="R366" s="344"/>
      <c r="S366" s="344"/>
      <c r="T366" s="344"/>
      <c r="U366" s="344"/>
      <c r="V366" s="344"/>
      <c r="W366" s="344"/>
      <c r="X366" s="513" t="s">
        <v>336</v>
      </c>
      <c r="Y366" s="514"/>
      <c r="Z366" s="49"/>
      <c r="AA366" s="49" t="s">
        <v>211</v>
      </c>
      <c r="AD366" s="49"/>
      <c r="AE366" s="49"/>
      <c r="AF366" s="49"/>
      <c r="AG366" s="49"/>
      <c r="AH366" s="49"/>
      <c r="AI366" s="49"/>
      <c r="AJ366" s="49"/>
      <c r="AK366" s="49"/>
      <c r="AL366" s="49"/>
      <c r="AM366" s="49"/>
      <c r="AN366" s="49"/>
      <c r="AO366" s="49"/>
      <c r="AP366" s="49"/>
      <c r="AQ366" s="204"/>
      <c r="AR366" s="204"/>
      <c r="AV366" s="232">
        <f>IF(P380="-",0,P380)</f>
        <v>0</v>
      </c>
      <c r="AW366" s="232">
        <f>IF(P379="-",0,P379)</f>
        <v>0</v>
      </c>
      <c r="AY366" s="167">
        <v>3</v>
      </c>
      <c r="AZ366" s="172" t="str">
        <f>IF(OR(P379="",P379="-"),IF(OR(P380="",P380="-"),"無無","額無"),IF(OR(P380="",P380="-"),"↓","有有"))</f>
        <v>無無</v>
      </c>
      <c r="BA366" s="169">
        <f t="shared" si="127"/>
      </c>
      <c r="BB366" s="175" t="s">
        <v>276</v>
      </c>
      <c r="BC366" s="176"/>
      <c r="BD366" s="172" t="str">
        <f>IF(AZ366="有有",IF(AW366/AV366&gt;BL366,"高額","ok"),"-")</f>
        <v>-</v>
      </c>
      <c r="BE366" s="178">
        <f>IF(ISNA(VLOOKUP(BD366,BD$75:BE$91,2,FALSE))=TRUE,"",VLOOKUP(BD366,BD$75:BE$91,2,FALSE))</f>
      </c>
      <c r="BF366" s="175" t="s">
        <v>276</v>
      </c>
      <c r="BG366" s="176"/>
      <c r="BH366" s="260" t="str">
        <f>IF(BG$370=0,"-")</f>
        <v>-</v>
      </c>
      <c r="BI366" s="178">
        <f t="shared" si="128"/>
      </c>
      <c r="BJ366" s="192">
        <f t="shared" si="129"/>
      </c>
      <c r="BK366" s="189">
        <f t="shared" si="130"/>
      </c>
      <c r="BL366" s="225">
        <f t="shared" si="131"/>
        <v>1000000000</v>
      </c>
      <c r="BM366" s="225">
        <v>1000000</v>
      </c>
      <c r="BN366" s="225">
        <v>1000000000</v>
      </c>
    </row>
    <row r="367" spans="5:66" ht="16.5" customHeight="1">
      <c r="E367" s="204"/>
      <c r="F367" s="204"/>
      <c r="G367" s="204"/>
      <c r="H367" s="204"/>
      <c r="I367" s="204"/>
      <c r="J367" s="204"/>
      <c r="K367" s="204"/>
      <c r="L367" s="204"/>
      <c r="M367" s="204"/>
      <c r="N367" s="204"/>
      <c r="O367" s="204"/>
      <c r="P367" s="204"/>
      <c r="Q367" s="204"/>
      <c r="R367" s="204"/>
      <c r="S367" s="204"/>
      <c r="T367" s="204"/>
      <c r="U367" s="204"/>
      <c r="V367" s="204"/>
      <c r="W367" s="204"/>
      <c r="X367" s="204" t="s">
        <v>211</v>
      </c>
      <c r="Y367" s="204"/>
      <c r="Z367" s="204"/>
      <c r="AA367" s="204" t="s">
        <v>211</v>
      </c>
      <c r="AB367" s="204"/>
      <c r="AC367" s="204"/>
      <c r="AD367" s="204"/>
      <c r="AE367" s="204"/>
      <c r="AF367" s="204"/>
      <c r="AG367" s="204"/>
      <c r="AH367" s="204"/>
      <c r="AI367" s="204"/>
      <c r="AJ367" s="204"/>
      <c r="AK367" s="204"/>
      <c r="AL367" s="204"/>
      <c r="AM367" s="204"/>
      <c r="AN367" s="204"/>
      <c r="AO367" s="204"/>
      <c r="AP367" s="204"/>
      <c r="AQ367" s="204"/>
      <c r="AR367" s="204"/>
      <c r="AV367" s="232">
        <f>IF(P380="-",0,P380)</f>
        <v>0</v>
      </c>
      <c r="AW367" s="232">
        <f>IF(P379="-",0,P379)</f>
        <v>0</v>
      </c>
      <c r="AY367" s="167">
        <v>4</v>
      </c>
      <c r="AZ367" s="172" t="str">
        <f>IF(OR(P379="",P379="-"),IF(OR(P380="",P380="-"),"無無","↑"),IF(OR(P380="",P380="-"),"数無","有有"))</f>
        <v>無無</v>
      </c>
      <c r="BA367" s="169">
        <f t="shared" si="127"/>
      </c>
      <c r="BB367" s="175" t="s">
        <v>276</v>
      </c>
      <c r="BC367" s="176"/>
      <c r="BD367" s="175" t="s">
        <v>276</v>
      </c>
      <c r="BE367" s="176"/>
      <c r="BF367" s="175" t="s">
        <v>276</v>
      </c>
      <c r="BG367" s="176"/>
      <c r="BH367" s="260" t="str">
        <f>IF(AND(BG$370=0,AZ367="有有"),IF(P380&lt;=P365,"正正","正貸大"),"-")</f>
        <v>-</v>
      </c>
      <c r="BI367" s="178">
        <f t="shared" si="128"/>
      </c>
      <c r="BJ367" s="192">
        <f t="shared" si="129"/>
      </c>
      <c r="BK367" s="189">
        <f t="shared" si="130"/>
      </c>
      <c r="BL367" s="225">
        <f t="shared" si="131"/>
        <v>1000000000</v>
      </c>
      <c r="BM367" s="225">
        <v>1000000</v>
      </c>
      <c r="BN367" s="225">
        <v>1000000000</v>
      </c>
    </row>
    <row r="368" spans="5:66" ht="16.5" customHeight="1">
      <c r="E368" s="204"/>
      <c r="F368" s="204" t="s">
        <v>55</v>
      </c>
      <c r="G368" s="204"/>
      <c r="H368" s="39"/>
      <c r="I368" s="39"/>
      <c r="J368" s="39"/>
      <c r="K368" s="39"/>
      <c r="L368" s="39"/>
      <c r="M368" s="39"/>
      <c r="N368" s="39"/>
      <c r="O368" s="39"/>
      <c r="P368" s="39"/>
      <c r="Q368" s="39"/>
      <c r="R368" s="39"/>
      <c r="S368" s="39"/>
      <c r="T368" s="39"/>
      <c r="U368" s="39"/>
      <c r="V368" s="39"/>
      <c r="W368" s="39"/>
      <c r="X368" s="39" t="s">
        <v>211</v>
      </c>
      <c r="Y368" s="39"/>
      <c r="Z368" s="39"/>
      <c r="AA368" s="39" t="s">
        <v>211</v>
      </c>
      <c r="AB368" s="39"/>
      <c r="AC368" s="39"/>
      <c r="AD368" s="39"/>
      <c r="AE368" s="39"/>
      <c r="AF368" s="39"/>
      <c r="AG368" s="39"/>
      <c r="AH368" s="39"/>
      <c r="AI368" s="39"/>
      <c r="AJ368" s="39"/>
      <c r="AK368" s="39"/>
      <c r="AL368" s="39"/>
      <c r="AM368" s="39"/>
      <c r="AN368" s="39"/>
      <c r="AO368" s="204"/>
      <c r="AP368" s="204"/>
      <c r="AQ368" s="204"/>
      <c r="AR368" s="204"/>
      <c r="AV368" s="232">
        <f>IF(P394="-",0,P394)</f>
        <v>0</v>
      </c>
      <c r="AW368" s="232">
        <f>IF(P393="-",0,P393)</f>
        <v>0</v>
      </c>
      <c r="AY368" s="167">
        <v>5</v>
      </c>
      <c r="AZ368" s="172" t="str">
        <f>IF(OR(P393="",P393="-"),IF(OR(P394="",P394="-"),"無無","額無"),IF(OR(P394="",P394="-"),"↓","有有"))</f>
        <v>無無</v>
      </c>
      <c r="BA368" s="169">
        <f t="shared" si="127"/>
      </c>
      <c r="BB368" s="175" t="s">
        <v>276</v>
      </c>
      <c r="BC368" s="176"/>
      <c r="BD368" s="172" t="str">
        <f>IF(AZ368="有有",IF(AW368/AV368&gt;BL368,"高額","ok"),"-")</f>
        <v>-</v>
      </c>
      <c r="BE368" s="178">
        <f>IF(ISNA(VLOOKUP(BD368,BD$75:BE$91,2,FALSE))=TRUE,"",VLOOKUP(BD368,BD$75:BE$91,2,FALSE))</f>
      </c>
      <c r="BF368" s="175" t="s">
        <v>276</v>
      </c>
      <c r="BG368" s="176"/>
      <c r="BH368" s="260" t="str">
        <f>IF(AND(BG$370=0,AZ368="有有"),IF(P393&lt;=Z$108,"正正","正大"),"-")</f>
        <v>-</v>
      </c>
      <c r="BI368" s="178">
        <f t="shared" si="128"/>
      </c>
      <c r="BJ368" s="192">
        <f t="shared" si="129"/>
      </c>
      <c r="BK368" s="189">
        <f t="shared" si="130"/>
      </c>
      <c r="BL368" s="225">
        <f t="shared" si="131"/>
        <v>1000000000</v>
      </c>
      <c r="BM368" s="225">
        <v>1000000</v>
      </c>
      <c r="BN368" s="225">
        <v>1000000000</v>
      </c>
    </row>
    <row r="369" spans="5:66" ht="14.25" customHeight="1" thickBot="1">
      <c r="E369" s="204"/>
      <c r="F369" s="204"/>
      <c r="G369" s="357" t="s">
        <v>337</v>
      </c>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04"/>
      <c r="AV369" s="252">
        <f>IF(P394="-",0,P394)</f>
        <v>0</v>
      </c>
      <c r="AW369" s="252">
        <f>IF(P393="-",0,P393)</f>
        <v>0</v>
      </c>
      <c r="AY369" s="167">
        <v>6</v>
      </c>
      <c r="AZ369" s="179" t="str">
        <f>IF(OR(P393="",P393="-"),IF(OR(P394="",P394="-"),"無無","↑"),IF(OR(P394="",P394="-"),"数無","有有"))</f>
        <v>無無</v>
      </c>
      <c r="BA369" s="169">
        <f t="shared" si="127"/>
      </c>
      <c r="BB369" s="180" t="s">
        <v>276</v>
      </c>
      <c r="BC369" s="176"/>
      <c r="BD369" s="180" t="s">
        <v>276</v>
      </c>
      <c r="BE369" s="176"/>
      <c r="BF369" s="180" t="s">
        <v>276</v>
      </c>
      <c r="BG369" s="176"/>
      <c r="BH369" s="261" t="str">
        <f>IF(AND(BG$370=0,AZ369="有有"),IF(P394&gt;=P365,"正正","正当小"),"-")</f>
        <v>-</v>
      </c>
      <c r="BI369" s="178">
        <f t="shared" si="128"/>
      </c>
      <c r="BJ369" s="192">
        <f t="shared" si="129"/>
      </c>
      <c r="BK369" s="220">
        <f t="shared" si="130"/>
      </c>
      <c r="BL369" s="225">
        <f t="shared" si="131"/>
        <v>1000000000</v>
      </c>
      <c r="BM369" s="225">
        <v>1000000</v>
      </c>
      <c r="BN369" s="225">
        <v>1000000000</v>
      </c>
    </row>
    <row r="370" spans="5:63" ht="14.25" customHeight="1" thickBot="1">
      <c r="E370" s="204"/>
      <c r="F370" s="204"/>
      <c r="G370" s="286"/>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04"/>
      <c r="AZ370" s="184">
        <f>COUNTIF(AZ364:AZ369,"無無")</f>
        <v>6</v>
      </c>
      <c r="BA370" s="182" t="str">
        <f>IF(AZ370=AY369,"｢該当なし」","")</f>
        <v>｢該当なし」</v>
      </c>
      <c r="BF370" s="181" t="s">
        <v>424</v>
      </c>
      <c r="BG370" s="164">
        <f>(4*AY369)-(COUNTIF(BA364:BA369,"")+COUNTIF(BC364:BC369,"")+COUNTIF(BE364:BE369,"")+COUNTIF(BG364:BG369,""))</f>
        <v>0</v>
      </c>
      <c r="BH370" s="153"/>
      <c r="BI370" s="153"/>
      <c r="BJ370" s="181" t="s">
        <v>425</v>
      </c>
      <c r="BK370" s="164">
        <f>AY369-COUNTIF(BJ364:BJ369,"")</f>
        <v>0</v>
      </c>
    </row>
    <row r="371" spans="5:44" ht="14.25" customHeight="1">
      <c r="E371" s="204"/>
      <c r="F371" s="204"/>
      <c r="G371" s="360" t="s">
        <v>334</v>
      </c>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204"/>
    </row>
    <row r="372" spans="5:44" ht="14.25" customHeight="1">
      <c r="E372" s="204"/>
      <c r="F372" s="204"/>
      <c r="G372" s="361"/>
      <c r="H372" s="361"/>
      <c r="I372" s="361"/>
      <c r="J372" s="361"/>
      <c r="K372" s="361"/>
      <c r="L372" s="361"/>
      <c r="M372" s="361"/>
      <c r="N372" s="361"/>
      <c r="O372" s="361"/>
      <c r="P372" s="361"/>
      <c r="Q372" s="361"/>
      <c r="R372" s="361"/>
      <c r="S372" s="361"/>
      <c r="T372" s="361"/>
      <c r="U372" s="361"/>
      <c r="V372" s="361"/>
      <c r="W372" s="361"/>
      <c r="X372" s="361"/>
      <c r="Y372" s="361"/>
      <c r="Z372" s="361"/>
      <c r="AA372" s="361"/>
      <c r="AB372" s="361"/>
      <c r="AC372" s="361"/>
      <c r="AD372" s="361"/>
      <c r="AE372" s="361"/>
      <c r="AF372" s="361"/>
      <c r="AG372" s="361"/>
      <c r="AH372" s="361"/>
      <c r="AI372" s="361"/>
      <c r="AJ372" s="361"/>
      <c r="AK372" s="361"/>
      <c r="AL372" s="361"/>
      <c r="AM372" s="361"/>
      <c r="AN372" s="361"/>
      <c r="AO372" s="361"/>
      <c r="AP372" s="361"/>
      <c r="AQ372" s="361"/>
      <c r="AR372" s="204"/>
    </row>
    <row r="373" spans="5:44" ht="16.5" customHeight="1">
      <c r="E373" s="204"/>
      <c r="F373" s="204"/>
      <c r="G373" s="361" t="s">
        <v>335</v>
      </c>
      <c r="H373" s="361"/>
      <c r="I373" s="361"/>
      <c r="J373" s="361"/>
      <c r="K373" s="361"/>
      <c r="L373" s="361"/>
      <c r="M373" s="361"/>
      <c r="N373" s="361"/>
      <c r="O373" s="361"/>
      <c r="P373" s="361"/>
      <c r="Q373" s="361"/>
      <c r="R373" s="361"/>
      <c r="S373" s="361"/>
      <c r="T373" s="361"/>
      <c r="U373" s="361"/>
      <c r="V373" s="361"/>
      <c r="W373" s="361"/>
      <c r="X373" s="361"/>
      <c r="Y373" s="361"/>
      <c r="Z373" s="361"/>
      <c r="AA373" s="361"/>
      <c r="AB373" s="361"/>
      <c r="AC373" s="361"/>
      <c r="AD373" s="361"/>
      <c r="AE373" s="361"/>
      <c r="AF373" s="361"/>
      <c r="AG373" s="361"/>
      <c r="AH373" s="361"/>
      <c r="AI373" s="361"/>
      <c r="AJ373" s="361"/>
      <c r="AK373" s="361"/>
      <c r="AL373" s="361"/>
      <c r="AM373" s="361"/>
      <c r="AN373" s="361"/>
      <c r="AO373" s="361"/>
      <c r="AP373" s="361"/>
      <c r="AQ373" s="361"/>
      <c r="AR373" s="204"/>
    </row>
    <row r="374" spans="5:44" ht="16.5" customHeight="1">
      <c r="E374" s="204"/>
      <c r="F374" s="204"/>
      <c r="G374" s="213"/>
      <c r="H374" s="213"/>
      <c r="I374" s="213"/>
      <c r="J374" s="213"/>
      <c r="K374" s="213"/>
      <c r="L374" s="213"/>
      <c r="M374" s="213"/>
      <c r="N374" s="213"/>
      <c r="O374" s="213"/>
      <c r="P374" s="213"/>
      <c r="Q374" s="213"/>
      <c r="R374" s="213"/>
      <c r="S374" s="213"/>
      <c r="T374" s="213"/>
      <c r="U374" s="213"/>
      <c r="V374" s="213"/>
      <c r="W374" s="213"/>
      <c r="X374" s="213"/>
      <c r="Y374" s="213"/>
      <c r="Z374" s="213"/>
      <c r="AA374" s="213"/>
      <c r="AB374" s="213"/>
      <c r="AC374" s="213"/>
      <c r="AD374" s="213"/>
      <c r="AE374" s="213"/>
      <c r="AF374" s="213"/>
      <c r="AG374" s="213"/>
      <c r="AH374" s="213"/>
      <c r="AI374" s="213"/>
      <c r="AJ374" s="213"/>
      <c r="AK374" s="213"/>
      <c r="AL374" s="213"/>
      <c r="AM374" s="213"/>
      <c r="AN374" s="213"/>
      <c r="AO374" s="213"/>
      <c r="AP374" s="213"/>
      <c r="AQ374" s="213"/>
      <c r="AR374" s="204"/>
    </row>
    <row r="375" spans="5:44" ht="16.5" customHeight="1">
      <c r="E375" s="204"/>
      <c r="F375" s="204"/>
      <c r="G375" s="73"/>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row>
    <row r="376" spans="5:44" ht="16.5" customHeight="1">
      <c r="E376" s="204"/>
      <c r="F376" s="148" t="s">
        <v>8</v>
      </c>
      <c r="G376" s="204"/>
      <c r="H376" s="204"/>
      <c r="I376" s="204"/>
      <c r="J376" s="204"/>
      <c r="K376" s="204"/>
      <c r="L376" s="204"/>
      <c r="M376" s="204"/>
      <c r="N376" s="204"/>
      <c r="O376" s="204"/>
      <c r="P376" s="204"/>
      <c r="Q376" s="204"/>
      <c r="R376" s="204"/>
      <c r="S376" s="204"/>
      <c r="T376" s="204"/>
      <c r="U376" s="204"/>
      <c r="V376" s="204"/>
      <c r="W376" s="204"/>
      <c r="X376" s="204"/>
      <c r="Y376" s="72"/>
      <c r="Z376" s="204"/>
      <c r="AA376" s="204"/>
      <c r="AB376" s="204"/>
      <c r="AC376" s="204"/>
      <c r="AD376" s="204"/>
      <c r="AE376" s="204"/>
      <c r="AF376" s="204"/>
      <c r="AG376" s="204"/>
      <c r="AH376" s="204"/>
      <c r="AI376" s="204"/>
      <c r="AJ376" s="204"/>
      <c r="AK376" s="204"/>
      <c r="AL376" s="204"/>
      <c r="AM376" s="204"/>
      <c r="AN376" s="204"/>
      <c r="AO376" s="204"/>
      <c r="AP376" s="204"/>
      <c r="AQ376" s="204"/>
      <c r="AR376" s="204"/>
    </row>
    <row r="377" spans="5:44" ht="16.5" customHeight="1">
      <c r="E377" s="204"/>
      <c r="F377" s="367" t="s">
        <v>9</v>
      </c>
      <c r="G377" s="368"/>
      <c r="H377" s="368"/>
      <c r="I377" s="368"/>
      <c r="J377" s="368"/>
      <c r="K377" s="368"/>
      <c r="L377" s="368"/>
      <c r="M377" s="368"/>
      <c r="N377" s="368"/>
      <c r="O377" s="368"/>
      <c r="P377" s="402" t="s">
        <v>2</v>
      </c>
      <c r="Q377" s="396"/>
      <c r="R377" s="396"/>
      <c r="S377" s="396"/>
      <c r="T377" s="396"/>
      <c r="U377" s="396"/>
      <c r="V377" s="396"/>
      <c r="W377" s="396"/>
      <c r="X377" s="396"/>
      <c r="Y377" s="396"/>
      <c r="Z377" s="397"/>
      <c r="AA377" s="12"/>
      <c r="AB377" s="12"/>
      <c r="AC377" s="12"/>
      <c r="AD377" s="12"/>
      <c r="AE377" s="12"/>
      <c r="AF377" s="12"/>
      <c r="AG377" s="12"/>
      <c r="AH377" s="12"/>
      <c r="AI377" s="12"/>
      <c r="AJ377" s="12"/>
      <c r="AK377" s="12"/>
      <c r="AL377" s="12"/>
      <c r="AM377" s="12"/>
      <c r="AN377" s="12"/>
      <c r="AO377" s="12"/>
      <c r="AP377" s="12"/>
      <c r="AQ377" s="204"/>
      <c r="AR377" s="204"/>
    </row>
    <row r="378" spans="5:44" ht="16.5" customHeight="1" thickBot="1">
      <c r="E378" s="204"/>
      <c r="F378" s="369"/>
      <c r="G378" s="370"/>
      <c r="H378" s="370"/>
      <c r="I378" s="370"/>
      <c r="J378" s="370"/>
      <c r="K378" s="370"/>
      <c r="L378" s="370"/>
      <c r="M378" s="370"/>
      <c r="N378" s="370"/>
      <c r="O378" s="370"/>
      <c r="P378" s="403"/>
      <c r="Q378" s="399"/>
      <c r="R378" s="399"/>
      <c r="S378" s="399"/>
      <c r="T378" s="399"/>
      <c r="U378" s="399"/>
      <c r="V378" s="399"/>
      <c r="W378" s="399"/>
      <c r="X378" s="399"/>
      <c r="Y378" s="399"/>
      <c r="Z378" s="400"/>
      <c r="AA378" s="148"/>
      <c r="AB378" s="148"/>
      <c r="AC378" s="148"/>
      <c r="AD378" s="148"/>
      <c r="AE378" s="148"/>
      <c r="AF378" s="148"/>
      <c r="AG378" s="148"/>
      <c r="AH378" s="148"/>
      <c r="AI378" s="148"/>
      <c r="AJ378" s="148"/>
      <c r="AK378" s="148"/>
      <c r="AL378" s="148"/>
      <c r="AM378" s="148"/>
      <c r="AN378" s="148"/>
      <c r="AO378" s="148"/>
      <c r="AP378" s="148"/>
      <c r="AQ378" s="204"/>
      <c r="AR378" s="204"/>
    </row>
    <row r="379" spans="5:45" ht="16.5" customHeight="1">
      <c r="E379" s="204"/>
      <c r="F379" s="54"/>
      <c r="G379" s="358" t="s">
        <v>10</v>
      </c>
      <c r="H379" s="358"/>
      <c r="I379" s="358"/>
      <c r="J379" s="358"/>
      <c r="K379" s="358"/>
      <c r="L379" s="358"/>
      <c r="M379" s="358"/>
      <c r="N379" s="358"/>
      <c r="O379" s="55"/>
      <c r="P379" s="364"/>
      <c r="Q379" s="365"/>
      <c r="R379" s="365"/>
      <c r="S379" s="365"/>
      <c r="T379" s="365"/>
      <c r="U379" s="365"/>
      <c r="V379" s="365"/>
      <c r="W379" s="366"/>
      <c r="X379" s="387" t="str">
        <f>$X$393</f>
        <v>千円</v>
      </c>
      <c r="Y379" s="387"/>
      <c r="Z379" s="388"/>
      <c r="AA379" s="64" t="s">
        <v>211</v>
      </c>
      <c r="AB379" s="56"/>
      <c r="AC379" s="56"/>
      <c r="AD379" s="56"/>
      <c r="AE379" s="56"/>
      <c r="AF379" s="56"/>
      <c r="AJ379" s="56"/>
      <c r="AK379" s="56"/>
      <c r="AL379" s="56"/>
      <c r="AM379" s="56"/>
      <c r="AN379" s="56"/>
      <c r="AO379" s="56"/>
      <c r="AP379" s="56"/>
      <c r="AQ379" s="204"/>
      <c r="AR379" s="204"/>
      <c r="AS379" s="149">
        <f>BK366</f>
      </c>
    </row>
    <row r="380" spans="5:45" ht="16.5" customHeight="1" thickBot="1">
      <c r="E380" s="204"/>
      <c r="F380" s="50"/>
      <c r="G380" s="359" t="s">
        <v>11</v>
      </c>
      <c r="H380" s="359"/>
      <c r="I380" s="359"/>
      <c r="J380" s="359"/>
      <c r="K380" s="359"/>
      <c r="L380" s="359"/>
      <c r="M380" s="359"/>
      <c r="N380" s="359"/>
      <c r="O380" s="51"/>
      <c r="P380" s="345"/>
      <c r="Q380" s="346"/>
      <c r="R380" s="346"/>
      <c r="S380" s="346"/>
      <c r="T380" s="346"/>
      <c r="U380" s="346"/>
      <c r="V380" s="346"/>
      <c r="W380" s="347"/>
      <c r="X380" s="389" t="s">
        <v>433</v>
      </c>
      <c r="Y380" s="389"/>
      <c r="Z380" s="390"/>
      <c r="AA380" s="64" t="s">
        <v>211</v>
      </c>
      <c r="AB380" s="49"/>
      <c r="AC380" s="49"/>
      <c r="AD380" s="49"/>
      <c r="AE380" s="49"/>
      <c r="AF380" s="49"/>
      <c r="AJ380" s="49"/>
      <c r="AK380" s="49"/>
      <c r="AL380" s="49"/>
      <c r="AM380" s="49"/>
      <c r="AN380" s="49"/>
      <c r="AO380" s="49"/>
      <c r="AP380" s="49"/>
      <c r="AQ380" s="204"/>
      <c r="AR380" s="204"/>
      <c r="AS380" s="149">
        <f>BK367</f>
      </c>
    </row>
    <row r="381" spans="5:44" ht="16.5" customHeight="1">
      <c r="E381" s="204"/>
      <c r="F381" s="209"/>
      <c r="G381" s="391" t="s">
        <v>12</v>
      </c>
      <c r="H381" s="391"/>
      <c r="I381" s="391"/>
      <c r="J381" s="391"/>
      <c r="K381" s="391"/>
      <c r="L381" s="391"/>
      <c r="M381" s="391"/>
      <c r="N381" s="391"/>
      <c r="O381" s="210"/>
      <c r="P381" s="362">
        <f>IF(AV366=0,"",IF(X379="百万円",ROUNDDOWN(P379*1000/P380,0),ROUNDDOWN(P379/P380,0)))</f>
      </c>
      <c r="Q381" s="363"/>
      <c r="R381" s="363"/>
      <c r="S381" s="363"/>
      <c r="T381" s="363"/>
      <c r="U381" s="363"/>
      <c r="V381" s="363"/>
      <c r="W381" s="363"/>
      <c r="X381" s="371" t="s">
        <v>298</v>
      </c>
      <c r="Y381" s="371"/>
      <c r="Z381" s="372"/>
      <c r="AA381" s="49"/>
      <c r="AB381" s="49"/>
      <c r="AC381" s="49"/>
      <c r="AD381" s="49"/>
      <c r="AE381" s="49"/>
      <c r="AF381" s="49"/>
      <c r="AJ381" s="49"/>
      <c r="AK381" s="49"/>
      <c r="AL381" s="49"/>
      <c r="AM381" s="49"/>
      <c r="AN381" s="49"/>
      <c r="AO381" s="49"/>
      <c r="AP381" s="49"/>
      <c r="AQ381" s="204"/>
      <c r="AR381" s="204"/>
    </row>
    <row r="382" spans="5:44" ht="7.5" customHeight="1">
      <c r="E382" s="204"/>
      <c r="F382" s="204"/>
      <c r="G382" s="201"/>
      <c r="H382" s="201"/>
      <c r="I382" s="201"/>
      <c r="J382" s="201"/>
      <c r="K382" s="201"/>
      <c r="L382" s="201"/>
      <c r="M382" s="201"/>
      <c r="N382" s="201"/>
      <c r="O382" s="204"/>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204"/>
      <c r="AP382" s="204"/>
      <c r="AQ382" s="204"/>
      <c r="AR382" s="204"/>
    </row>
    <row r="383" spans="5:44" ht="16.5" customHeight="1">
      <c r="E383" s="204"/>
      <c r="F383" s="204" t="s">
        <v>55</v>
      </c>
      <c r="G383" s="204"/>
      <c r="H383" s="201"/>
      <c r="I383" s="201"/>
      <c r="J383" s="201"/>
      <c r="K383" s="201"/>
      <c r="L383" s="201"/>
      <c r="M383" s="201"/>
      <c r="N383" s="201"/>
      <c r="O383" s="204"/>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204"/>
      <c r="AP383" s="204"/>
      <c r="AQ383" s="204"/>
      <c r="AR383" s="204"/>
    </row>
    <row r="384" spans="5:44" ht="16.5" customHeight="1">
      <c r="E384" s="204"/>
      <c r="F384" s="204"/>
      <c r="G384" s="204" t="s">
        <v>56</v>
      </c>
      <c r="H384" s="286" t="s">
        <v>13</v>
      </c>
      <c r="I384" s="286"/>
      <c r="J384" s="286"/>
      <c r="K384" s="286"/>
      <c r="L384" s="286"/>
      <c r="M384" s="286"/>
      <c r="N384" s="286"/>
      <c r="O384" s="286"/>
      <c r="P384" s="286"/>
      <c r="Q384" s="286"/>
      <c r="R384" s="286"/>
      <c r="S384" s="286"/>
      <c r="T384" s="286"/>
      <c r="U384" s="286"/>
      <c r="V384" s="286"/>
      <c r="W384" s="286"/>
      <c r="X384" s="286"/>
      <c r="Y384" s="286"/>
      <c r="Z384" s="286"/>
      <c r="AA384" s="286"/>
      <c r="AB384" s="286"/>
      <c r="AC384" s="286"/>
      <c r="AD384" s="286"/>
      <c r="AE384" s="286"/>
      <c r="AF384" s="286"/>
      <c r="AG384" s="286"/>
      <c r="AH384" s="286"/>
      <c r="AI384" s="286"/>
      <c r="AJ384" s="286"/>
      <c r="AK384" s="286"/>
      <c r="AL384" s="286"/>
      <c r="AM384" s="286"/>
      <c r="AN384" s="286"/>
      <c r="AO384" s="286"/>
      <c r="AP384" s="204"/>
      <c r="AQ384" s="204"/>
      <c r="AR384" s="204"/>
    </row>
    <row r="385" spans="5:44" ht="12.75" customHeight="1">
      <c r="E385" s="204"/>
      <c r="F385" s="204"/>
      <c r="G385" s="204" t="s">
        <v>194</v>
      </c>
      <c r="H385" s="357" t="s">
        <v>463</v>
      </c>
      <c r="I385" s="357"/>
      <c r="J385" s="357"/>
      <c r="K385" s="357"/>
      <c r="L385" s="357"/>
      <c r="M385" s="357"/>
      <c r="N385" s="357"/>
      <c r="O385" s="357"/>
      <c r="P385" s="357"/>
      <c r="Q385" s="357"/>
      <c r="R385" s="357"/>
      <c r="S385" s="357"/>
      <c r="T385" s="357"/>
      <c r="U385" s="357"/>
      <c r="V385" s="357"/>
      <c r="W385" s="357"/>
      <c r="X385" s="357"/>
      <c r="Y385" s="357"/>
      <c r="Z385" s="357"/>
      <c r="AA385" s="357"/>
      <c r="AB385" s="357"/>
      <c r="AC385" s="357"/>
      <c r="AD385" s="357"/>
      <c r="AE385" s="357"/>
      <c r="AF385" s="357"/>
      <c r="AG385" s="357"/>
      <c r="AH385" s="357"/>
      <c r="AI385" s="357"/>
      <c r="AJ385" s="357"/>
      <c r="AK385" s="357"/>
      <c r="AL385" s="357"/>
      <c r="AM385" s="357"/>
      <c r="AN385" s="357"/>
      <c r="AO385" s="357"/>
      <c r="AP385" s="204"/>
      <c r="AQ385" s="204"/>
      <c r="AR385" s="204"/>
    </row>
    <row r="386" spans="5:44" ht="16.5" customHeight="1">
      <c r="E386" s="204"/>
      <c r="F386" s="204"/>
      <c r="G386" s="204" t="s">
        <v>14</v>
      </c>
      <c r="H386" s="286" t="s">
        <v>15</v>
      </c>
      <c r="I386" s="286"/>
      <c r="J386" s="286"/>
      <c r="K386" s="286"/>
      <c r="L386" s="286"/>
      <c r="M386" s="286"/>
      <c r="N386" s="286"/>
      <c r="O386" s="286"/>
      <c r="P386" s="286"/>
      <c r="Q386" s="286"/>
      <c r="R386" s="286"/>
      <c r="S386" s="286"/>
      <c r="T386" s="286"/>
      <c r="U386" s="286"/>
      <c r="V386" s="286"/>
      <c r="W386" s="286"/>
      <c r="X386" s="286"/>
      <c r="Y386" s="286"/>
      <c r="Z386" s="286"/>
      <c r="AA386" s="286"/>
      <c r="AB386" s="286"/>
      <c r="AC386" s="286"/>
      <c r="AD386" s="286"/>
      <c r="AE386" s="286"/>
      <c r="AF386" s="286"/>
      <c r="AG386" s="286"/>
      <c r="AH386" s="286"/>
      <c r="AI386" s="286"/>
      <c r="AJ386" s="286"/>
      <c r="AK386" s="286"/>
      <c r="AL386" s="286"/>
      <c r="AM386" s="286"/>
      <c r="AN386" s="286"/>
      <c r="AO386" s="286"/>
      <c r="AP386" s="204"/>
      <c r="AQ386" s="204"/>
      <c r="AR386" s="204"/>
    </row>
    <row r="387" spans="5:44" ht="13.5" customHeight="1">
      <c r="E387" s="204"/>
      <c r="F387" s="204"/>
      <c r="G387" s="204" t="s">
        <v>130</v>
      </c>
      <c r="H387" s="357" t="s">
        <v>305</v>
      </c>
      <c r="I387" s="357"/>
      <c r="J387" s="357"/>
      <c r="K387" s="357"/>
      <c r="L387" s="357"/>
      <c r="M387" s="357"/>
      <c r="N387" s="357"/>
      <c r="O387" s="357"/>
      <c r="P387" s="357"/>
      <c r="Q387" s="357"/>
      <c r="R387" s="357"/>
      <c r="S387" s="357"/>
      <c r="T387" s="357"/>
      <c r="U387" s="357"/>
      <c r="V387" s="357"/>
      <c r="W387" s="357"/>
      <c r="X387" s="357"/>
      <c r="Y387" s="357"/>
      <c r="Z387" s="357"/>
      <c r="AA387" s="357"/>
      <c r="AB387" s="357"/>
      <c r="AC387" s="357"/>
      <c r="AD387" s="357"/>
      <c r="AE387" s="357"/>
      <c r="AF387" s="357"/>
      <c r="AG387" s="357"/>
      <c r="AH387" s="357"/>
      <c r="AI387" s="357"/>
      <c r="AJ387" s="357"/>
      <c r="AK387" s="357"/>
      <c r="AL387" s="357"/>
      <c r="AM387" s="357"/>
      <c r="AN387" s="357"/>
      <c r="AO387" s="357"/>
      <c r="AP387" s="204"/>
      <c r="AQ387" s="204"/>
      <c r="AR387" s="204"/>
    </row>
    <row r="388" spans="5:44" ht="16.5" customHeight="1">
      <c r="E388" s="204"/>
      <c r="F388" s="204"/>
      <c r="G388" s="204"/>
      <c r="H388" s="357"/>
      <c r="I388" s="357"/>
      <c r="J388" s="357"/>
      <c r="K388" s="357"/>
      <c r="L388" s="357"/>
      <c r="M388" s="357"/>
      <c r="N388" s="357"/>
      <c r="O388" s="357"/>
      <c r="P388" s="357"/>
      <c r="Q388" s="357"/>
      <c r="R388" s="357"/>
      <c r="S388" s="357"/>
      <c r="T388" s="357"/>
      <c r="U388" s="357"/>
      <c r="V388" s="357"/>
      <c r="W388" s="357"/>
      <c r="X388" s="357"/>
      <c r="Y388" s="357"/>
      <c r="Z388" s="357"/>
      <c r="AA388" s="357"/>
      <c r="AB388" s="357"/>
      <c r="AC388" s="357"/>
      <c r="AD388" s="357"/>
      <c r="AE388" s="357"/>
      <c r="AF388" s="357"/>
      <c r="AG388" s="357"/>
      <c r="AH388" s="357"/>
      <c r="AI388" s="357"/>
      <c r="AJ388" s="357"/>
      <c r="AK388" s="357"/>
      <c r="AL388" s="357"/>
      <c r="AM388" s="357"/>
      <c r="AN388" s="357"/>
      <c r="AO388" s="357"/>
      <c r="AP388" s="204"/>
      <c r="AQ388" s="204"/>
      <c r="AR388" s="204"/>
    </row>
    <row r="389" spans="5:44" ht="16.5" customHeight="1">
      <c r="E389" s="204"/>
      <c r="F389" s="204"/>
      <c r="G389" s="204"/>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4"/>
      <c r="AQ389" s="204"/>
      <c r="AR389" s="204"/>
    </row>
    <row r="390" spans="5:44" ht="16.5" customHeight="1">
      <c r="E390" s="204"/>
      <c r="F390" s="148" t="s">
        <v>16</v>
      </c>
      <c r="G390" s="204"/>
      <c r="H390" s="204"/>
      <c r="I390" s="204"/>
      <c r="J390" s="204"/>
      <c r="K390" s="204"/>
      <c r="L390" s="204"/>
      <c r="M390" s="204"/>
      <c r="N390" s="204"/>
      <c r="O390" s="204"/>
      <c r="P390" s="204"/>
      <c r="Q390" s="204"/>
      <c r="R390" s="204"/>
      <c r="S390" s="204"/>
      <c r="T390" s="204"/>
      <c r="U390" s="204"/>
      <c r="V390" s="204"/>
      <c r="W390" s="204"/>
      <c r="X390" s="204"/>
      <c r="Y390" s="72"/>
      <c r="Z390" s="204"/>
      <c r="AA390" s="204"/>
      <c r="AB390" s="204"/>
      <c r="AC390" s="204"/>
      <c r="AD390" s="204"/>
      <c r="AE390" s="204"/>
      <c r="AF390" s="204"/>
      <c r="AG390" s="204"/>
      <c r="AH390" s="204"/>
      <c r="AI390" s="204"/>
      <c r="AJ390" s="204"/>
      <c r="AK390" s="204"/>
      <c r="AL390" s="204"/>
      <c r="AM390" s="204"/>
      <c r="AN390" s="204"/>
      <c r="AO390" s="204"/>
      <c r="AP390" s="204"/>
      <c r="AQ390" s="204"/>
      <c r="AR390" s="204"/>
    </row>
    <row r="391" spans="5:44" ht="16.5" customHeight="1">
      <c r="E391" s="204"/>
      <c r="F391" s="367" t="s">
        <v>17</v>
      </c>
      <c r="G391" s="368"/>
      <c r="H391" s="368"/>
      <c r="I391" s="368"/>
      <c r="J391" s="368"/>
      <c r="K391" s="368"/>
      <c r="L391" s="368"/>
      <c r="M391" s="368"/>
      <c r="N391" s="368"/>
      <c r="O391" s="500"/>
      <c r="P391" s="395" t="s">
        <v>2</v>
      </c>
      <c r="Q391" s="396"/>
      <c r="R391" s="396"/>
      <c r="S391" s="396"/>
      <c r="T391" s="396"/>
      <c r="U391" s="396"/>
      <c r="V391" s="396"/>
      <c r="W391" s="396"/>
      <c r="X391" s="396"/>
      <c r="Y391" s="396"/>
      <c r="Z391" s="397"/>
      <c r="AA391" s="12"/>
      <c r="AB391" s="12"/>
      <c r="AC391" s="12"/>
      <c r="AD391" s="12"/>
      <c r="AE391" s="12"/>
      <c r="AF391" s="12"/>
      <c r="AG391" s="12"/>
      <c r="AH391" s="12"/>
      <c r="AI391" s="12"/>
      <c r="AJ391" s="12"/>
      <c r="AK391" s="12"/>
      <c r="AL391" s="12"/>
      <c r="AM391" s="12"/>
      <c r="AN391" s="12"/>
      <c r="AO391" s="204"/>
      <c r="AP391" s="204"/>
      <c r="AQ391" s="204"/>
      <c r="AR391" s="204"/>
    </row>
    <row r="392" spans="5:44" ht="16.5" customHeight="1" thickBot="1">
      <c r="E392" s="204"/>
      <c r="F392" s="369"/>
      <c r="G392" s="370"/>
      <c r="H392" s="370"/>
      <c r="I392" s="370"/>
      <c r="J392" s="370"/>
      <c r="K392" s="370"/>
      <c r="L392" s="370"/>
      <c r="M392" s="370"/>
      <c r="N392" s="370"/>
      <c r="O392" s="501"/>
      <c r="P392" s="398"/>
      <c r="Q392" s="399"/>
      <c r="R392" s="399"/>
      <c r="S392" s="399"/>
      <c r="T392" s="399"/>
      <c r="U392" s="399"/>
      <c r="V392" s="399"/>
      <c r="W392" s="399"/>
      <c r="X392" s="399"/>
      <c r="Y392" s="399"/>
      <c r="Z392" s="400"/>
      <c r="AA392" s="148"/>
      <c r="AB392" s="148"/>
      <c r="AC392" s="148"/>
      <c r="AD392" s="148"/>
      <c r="AE392" s="148"/>
      <c r="AF392" s="148"/>
      <c r="AG392" s="148"/>
      <c r="AH392" s="148"/>
      <c r="AI392" s="148"/>
      <c r="AJ392" s="148"/>
      <c r="AK392" s="148"/>
      <c r="AL392" s="148"/>
      <c r="AM392" s="148"/>
      <c r="AN392" s="148"/>
      <c r="AO392" s="204"/>
      <c r="AP392" s="204"/>
      <c r="AQ392" s="204"/>
      <c r="AR392" s="204"/>
    </row>
    <row r="393" spans="5:45" ht="16.5" customHeight="1">
      <c r="E393" s="204"/>
      <c r="F393" s="54"/>
      <c r="G393" s="358" t="s">
        <v>18</v>
      </c>
      <c r="H393" s="358"/>
      <c r="I393" s="358"/>
      <c r="J393" s="358"/>
      <c r="K393" s="358"/>
      <c r="L393" s="358"/>
      <c r="M393" s="358"/>
      <c r="N393" s="358"/>
      <c r="O393" s="58"/>
      <c r="P393" s="364"/>
      <c r="Q393" s="365"/>
      <c r="R393" s="365"/>
      <c r="S393" s="365"/>
      <c r="T393" s="365"/>
      <c r="U393" s="365"/>
      <c r="V393" s="365"/>
      <c r="W393" s="366"/>
      <c r="X393" s="509" t="s">
        <v>526</v>
      </c>
      <c r="Y393" s="509"/>
      <c r="Z393" s="510"/>
      <c r="AA393" s="64" t="s">
        <v>211</v>
      </c>
      <c r="AB393" s="49"/>
      <c r="AC393" s="49"/>
      <c r="AD393" s="49"/>
      <c r="AE393" s="49"/>
      <c r="AF393" s="49"/>
      <c r="AJ393" s="49"/>
      <c r="AK393" s="49"/>
      <c r="AL393" s="49"/>
      <c r="AM393" s="49"/>
      <c r="AN393" s="49"/>
      <c r="AO393" s="204"/>
      <c r="AP393" s="204"/>
      <c r="AQ393" s="204"/>
      <c r="AR393" s="204"/>
      <c r="AS393" s="149">
        <f>BK368</f>
      </c>
    </row>
    <row r="394" spans="5:45" ht="16.5" customHeight="1" thickBot="1">
      <c r="E394" s="204"/>
      <c r="F394" s="59"/>
      <c r="G394" s="359" t="s">
        <v>19</v>
      </c>
      <c r="H394" s="359"/>
      <c r="I394" s="359"/>
      <c r="J394" s="359"/>
      <c r="K394" s="359"/>
      <c r="L394" s="359"/>
      <c r="M394" s="359"/>
      <c r="N394" s="359"/>
      <c r="O394" s="51"/>
      <c r="P394" s="345"/>
      <c r="Q394" s="346"/>
      <c r="R394" s="346"/>
      <c r="S394" s="346"/>
      <c r="T394" s="346"/>
      <c r="U394" s="346"/>
      <c r="V394" s="346"/>
      <c r="W394" s="347"/>
      <c r="X394" s="389" t="s">
        <v>433</v>
      </c>
      <c r="Y394" s="389"/>
      <c r="Z394" s="390"/>
      <c r="AA394" s="64" t="s">
        <v>211</v>
      </c>
      <c r="AB394" s="49"/>
      <c r="AC394" s="49"/>
      <c r="AD394" s="49"/>
      <c r="AE394" s="49"/>
      <c r="AF394" s="49"/>
      <c r="AJ394" s="49"/>
      <c r="AK394" s="49"/>
      <c r="AL394" s="49"/>
      <c r="AM394" s="49"/>
      <c r="AN394" s="49"/>
      <c r="AO394" s="204"/>
      <c r="AP394" s="204"/>
      <c r="AQ394" s="204"/>
      <c r="AR394" s="204"/>
      <c r="AS394" s="149">
        <f>BK369</f>
      </c>
    </row>
    <row r="395" spans="5:44" ht="16.5" customHeight="1">
      <c r="E395" s="204"/>
      <c r="F395" s="502" t="s">
        <v>20</v>
      </c>
      <c r="G395" s="503"/>
      <c r="H395" s="503"/>
      <c r="I395" s="503"/>
      <c r="J395" s="503"/>
      <c r="K395" s="503"/>
      <c r="L395" s="503"/>
      <c r="M395" s="503"/>
      <c r="N395" s="503"/>
      <c r="O395" s="504"/>
      <c r="P395" s="362">
        <f>IF(AV368=0,"",IF(X393="百万円",ROUNDDOWN(P393*1000/P394,0),ROUNDDOWN(P393/P394,0)))</f>
      </c>
      <c r="Q395" s="363"/>
      <c r="R395" s="363"/>
      <c r="S395" s="363"/>
      <c r="T395" s="363"/>
      <c r="U395" s="363"/>
      <c r="V395" s="363"/>
      <c r="W395" s="363"/>
      <c r="X395" s="371" t="s">
        <v>298</v>
      </c>
      <c r="Y395" s="371"/>
      <c r="Z395" s="372"/>
      <c r="AA395" s="49"/>
      <c r="AB395" s="49"/>
      <c r="AC395" s="49"/>
      <c r="AD395" s="49"/>
      <c r="AE395" s="49"/>
      <c r="AF395" s="49"/>
      <c r="AJ395" s="49"/>
      <c r="AK395" s="49"/>
      <c r="AL395" s="49"/>
      <c r="AM395" s="49"/>
      <c r="AN395" s="49"/>
      <c r="AO395" s="204"/>
      <c r="AP395" s="204"/>
      <c r="AQ395" s="204"/>
      <c r="AR395" s="204"/>
    </row>
    <row r="396" spans="5:44" ht="7.5" customHeight="1">
      <c r="E396" s="204"/>
      <c r="F396" s="204"/>
      <c r="G396" s="201"/>
      <c r="H396" s="201"/>
      <c r="I396" s="201"/>
      <c r="J396" s="201"/>
      <c r="K396" s="201"/>
      <c r="L396" s="201"/>
      <c r="M396" s="201"/>
      <c r="N396" s="201"/>
      <c r="O396" s="204"/>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204"/>
      <c r="AP396" s="204"/>
      <c r="AQ396" s="204"/>
      <c r="AR396" s="204"/>
    </row>
    <row r="397" spans="5:44" ht="16.5" customHeight="1">
      <c r="E397" s="204"/>
      <c r="F397" s="204" t="s">
        <v>55</v>
      </c>
      <c r="G397" s="204"/>
      <c r="H397" s="201"/>
      <c r="I397" s="201"/>
      <c r="J397" s="201"/>
      <c r="K397" s="201"/>
      <c r="L397" s="201"/>
      <c r="M397" s="201"/>
      <c r="N397" s="201"/>
      <c r="O397" s="204"/>
      <c r="P397" s="57"/>
      <c r="Q397" s="204"/>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204"/>
      <c r="AP397" s="204"/>
      <c r="AQ397" s="204"/>
      <c r="AR397" s="204"/>
    </row>
    <row r="398" spans="5:44" ht="16.5" customHeight="1">
      <c r="E398" s="204"/>
      <c r="F398" s="204"/>
      <c r="G398" s="204" t="s">
        <v>56</v>
      </c>
      <c r="H398" s="204" t="s">
        <v>21</v>
      </c>
      <c r="I398" s="201"/>
      <c r="J398" s="201"/>
      <c r="K398" s="201"/>
      <c r="L398" s="201"/>
      <c r="M398" s="201"/>
      <c r="N398" s="201"/>
      <c r="O398" s="204"/>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204"/>
      <c r="AP398" s="204"/>
      <c r="AQ398" s="204"/>
      <c r="AR398" s="204"/>
    </row>
    <row r="399" spans="5:44" ht="16.5" customHeight="1">
      <c r="E399" s="204"/>
      <c r="F399" s="204"/>
      <c r="G399" s="204" t="s">
        <v>22</v>
      </c>
      <c r="H399" s="204" t="s">
        <v>23</v>
      </c>
      <c r="I399" s="201"/>
      <c r="J399" s="201"/>
      <c r="K399" s="201"/>
      <c r="L399" s="201"/>
      <c r="M399" s="201"/>
      <c r="N399" s="201"/>
      <c r="O399" s="204"/>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204"/>
      <c r="AP399" s="204"/>
      <c r="AQ399" s="204"/>
      <c r="AR399" s="204"/>
    </row>
    <row r="400" spans="5:44" ht="16.5" customHeight="1">
      <c r="E400" s="204"/>
      <c r="F400" s="204"/>
      <c r="G400" s="204" t="s">
        <v>24</v>
      </c>
      <c r="H400" s="204" t="s">
        <v>25</v>
      </c>
      <c r="I400" s="204"/>
      <c r="J400" s="204"/>
      <c r="K400" s="204"/>
      <c r="L400" s="204"/>
      <c r="M400" s="204"/>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row>
    <row r="401" spans="5:44" ht="13.5" customHeight="1">
      <c r="E401" s="204"/>
      <c r="F401" s="204"/>
      <c r="G401" s="204" t="s">
        <v>46</v>
      </c>
      <c r="H401" s="357" t="s">
        <v>464</v>
      </c>
      <c r="I401" s="357"/>
      <c r="J401" s="357"/>
      <c r="K401" s="357"/>
      <c r="L401" s="357"/>
      <c r="M401" s="357"/>
      <c r="N401" s="357"/>
      <c r="O401" s="357"/>
      <c r="P401" s="357"/>
      <c r="Q401" s="357"/>
      <c r="R401" s="357"/>
      <c r="S401" s="357"/>
      <c r="T401" s="357"/>
      <c r="U401" s="357"/>
      <c r="V401" s="357"/>
      <c r="W401" s="357"/>
      <c r="X401" s="357"/>
      <c r="Y401" s="357"/>
      <c r="Z401" s="357"/>
      <c r="AA401" s="357"/>
      <c r="AB401" s="357"/>
      <c r="AC401" s="357"/>
      <c r="AD401" s="357"/>
      <c r="AE401" s="357"/>
      <c r="AF401" s="357"/>
      <c r="AG401" s="357"/>
      <c r="AH401" s="357"/>
      <c r="AI401" s="357"/>
      <c r="AJ401" s="357"/>
      <c r="AK401" s="357"/>
      <c r="AL401" s="357"/>
      <c r="AM401" s="357"/>
      <c r="AN401" s="357"/>
      <c r="AO401" s="357"/>
      <c r="AP401" s="204"/>
      <c r="AQ401" s="204"/>
      <c r="AR401" s="204"/>
    </row>
    <row r="402" spans="5:44" ht="16.5" customHeight="1">
      <c r="E402" s="204"/>
      <c r="F402" s="204"/>
      <c r="G402" s="204"/>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4"/>
      <c r="AQ402" s="204"/>
      <c r="AR402" s="204"/>
    </row>
    <row r="403" spans="5:44" ht="16.5" customHeight="1">
      <c r="E403" s="204"/>
      <c r="F403" s="204"/>
      <c r="G403" s="204"/>
      <c r="H403" s="204"/>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row>
    <row r="404" spans="5:44" ht="16.5" customHeight="1">
      <c r="E404" s="204"/>
      <c r="F404" s="148"/>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34"/>
      <c r="AF404" s="34"/>
      <c r="AG404" s="34"/>
      <c r="AH404" s="34"/>
      <c r="AI404" s="34"/>
      <c r="AJ404" s="34"/>
      <c r="AK404" s="34"/>
      <c r="AL404" s="34"/>
      <c r="AM404" s="34"/>
      <c r="AN404" s="34"/>
      <c r="AO404" s="204"/>
      <c r="AP404" s="204"/>
      <c r="AQ404" s="204"/>
      <c r="AR404" s="204"/>
    </row>
    <row r="405" spans="5:52" ht="16.5" customHeight="1">
      <c r="E405" s="204"/>
      <c r="F405" s="505"/>
      <c r="G405" s="505"/>
      <c r="H405" s="505"/>
      <c r="I405" s="506"/>
      <c r="J405" s="506"/>
      <c r="K405" s="506"/>
      <c r="L405" s="506"/>
      <c r="M405" s="506"/>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6"/>
      <c r="AI405" s="506"/>
      <c r="AJ405" s="506"/>
      <c r="AK405" s="506"/>
      <c r="AL405" s="506"/>
      <c r="AM405" s="506"/>
      <c r="AN405" s="60"/>
      <c r="AO405" s="204"/>
      <c r="AP405" s="204"/>
      <c r="AQ405" s="204"/>
      <c r="AR405" s="204"/>
      <c r="AZ405" s="155" t="s">
        <v>299</v>
      </c>
    </row>
    <row r="406" spans="5:44" ht="7.5" customHeight="1">
      <c r="E406" s="204"/>
      <c r="F406" s="218"/>
      <c r="G406" s="218"/>
      <c r="H406" s="218"/>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204"/>
      <c r="AP406" s="204"/>
      <c r="AQ406" s="204"/>
      <c r="AR406" s="204"/>
    </row>
    <row r="407" spans="5:44" ht="16.5" customHeight="1">
      <c r="E407" s="204"/>
      <c r="F407" s="204"/>
      <c r="G407" s="218"/>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204"/>
      <c r="AP407" s="204"/>
      <c r="AQ407" s="204"/>
      <c r="AR407" s="204"/>
    </row>
    <row r="408" spans="5:44" ht="13.5" customHeight="1">
      <c r="E408" s="204"/>
      <c r="F408" s="204"/>
      <c r="G408" s="357"/>
      <c r="H408" s="357"/>
      <c r="I408" s="357"/>
      <c r="J408" s="357"/>
      <c r="K408" s="357"/>
      <c r="L408" s="357"/>
      <c r="M408" s="357"/>
      <c r="N408" s="357"/>
      <c r="O408" s="357"/>
      <c r="P408" s="357"/>
      <c r="Q408" s="357"/>
      <c r="R408" s="357"/>
      <c r="S408" s="357"/>
      <c r="T408" s="357"/>
      <c r="U408" s="357"/>
      <c r="V408" s="357"/>
      <c r="W408" s="357"/>
      <c r="X408" s="357"/>
      <c r="Y408" s="357"/>
      <c r="Z408" s="357"/>
      <c r="AA408" s="357"/>
      <c r="AB408" s="357"/>
      <c r="AC408" s="357"/>
      <c r="AD408" s="357"/>
      <c r="AE408" s="357"/>
      <c r="AF408" s="357"/>
      <c r="AG408" s="357"/>
      <c r="AH408" s="357"/>
      <c r="AI408" s="357"/>
      <c r="AJ408" s="357"/>
      <c r="AK408" s="357"/>
      <c r="AL408" s="357"/>
      <c r="AM408" s="357"/>
      <c r="AN408" s="357"/>
      <c r="AO408" s="357"/>
      <c r="AP408" s="204"/>
      <c r="AQ408" s="204"/>
      <c r="AR408" s="204"/>
    </row>
    <row r="409" spans="5:44" ht="13.5" customHeight="1">
      <c r="E409" s="204"/>
      <c r="F409" s="204"/>
      <c r="G409" s="357"/>
      <c r="H409" s="357"/>
      <c r="I409" s="357"/>
      <c r="J409" s="357"/>
      <c r="K409" s="357"/>
      <c r="L409" s="357"/>
      <c r="M409" s="357"/>
      <c r="N409" s="357"/>
      <c r="O409" s="357"/>
      <c r="P409" s="357"/>
      <c r="Q409" s="357"/>
      <c r="R409" s="357"/>
      <c r="S409" s="357"/>
      <c r="T409" s="357"/>
      <c r="U409" s="357"/>
      <c r="V409" s="357"/>
      <c r="W409" s="357"/>
      <c r="X409" s="357"/>
      <c r="Y409" s="357"/>
      <c r="Z409" s="357"/>
      <c r="AA409" s="357"/>
      <c r="AB409" s="357"/>
      <c r="AC409" s="357"/>
      <c r="AD409" s="357"/>
      <c r="AE409" s="357"/>
      <c r="AF409" s="357"/>
      <c r="AG409" s="357"/>
      <c r="AH409" s="357"/>
      <c r="AI409" s="357"/>
      <c r="AJ409" s="357"/>
      <c r="AK409" s="357"/>
      <c r="AL409" s="357"/>
      <c r="AM409" s="357"/>
      <c r="AN409" s="357"/>
      <c r="AO409" s="357"/>
      <c r="AP409" s="204"/>
      <c r="AQ409" s="204"/>
      <c r="AR409" s="204"/>
    </row>
    <row r="410" spans="5:44" ht="16.5" customHeight="1">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4"/>
    </row>
    <row r="411" spans="5:46" ht="16.5" customHeight="1">
      <c r="E411" s="148"/>
      <c r="F411" s="148" t="s">
        <v>590</v>
      </c>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T411" s="264">
        <f>IF(AT413="","エラーなし","")</f>
      </c>
    </row>
    <row r="412" spans="5:44" ht="7.5" customHeight="1">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row>
    <row r="413" spans="5:49" ht="33" customHeight="1">
      <c r="E413" s="204"/>
      <c r="F413" s="373"/>
      <c r="G413" s="374"/>
      <c r="H413" s="374"/>
      <c r="I413" s="375" t="s">
        <v>303</v>
      </c>
      <c r="J413" s="376"/>
      <c r="K413" s="376"/>
      <c r="L413" s="376"/>
      <c r="M413" s="376"/>
      <c r="N413" s="376"/>
      <c r="O413" s="376"/>
      <c r="P413" s="376"/>
      <c r="Q413" s="376"/>
      <c r="R413" s="376"/>
      <c r="S413" s="376"/>
      <c r="T413" s="376"/>
      <c r="U413" s="376"/>
      <c r="V413" s="376"/>
      <c r="W413" s="376"/>
      <c r="X413" s="376"/>
      <c r="Y413" s="376"/>
      <c r="Z413" s="376"/>
      <c r="AA413" s="376"/>
      <c r="AB413" s="376"/>
      <c r="AC413" s="376"/>
      <c r="AD413" s="376"/>
      <c r="AE413" s="376"/>
      <c r="AF413" s="376"/>
      <c r="AG413" s="376"/>
      <c r="AH413" s="376"/>
      <c r="AI413" s="376"/>
      <c r="AJ413" s="376"/>
      <c r="AK413" s="376"/>
      <c r="AL413" s="376"/>
      <c r="AM413" s="376"/>
      <c r="AN413" s="376"/>
      <c r="AO413" s="377"/>
      <c r="AP413" s="204"/>
      <c r="AQ413" s="204"/>
      <c r="AR413" s="204"/>
      <c r="AT413" s="278" t="str">
        <f>IF(AND(BB425="",BB426=""),"",IF(BB426="",BB425,BB426))</f>
        <v>←いずれかの欄に○印をご記載下さい！</v>
      </c>
      <c r="AW413" s="262">
        <f>IF(F413="○",1,"")</f>
      </c>
    </row>
    <row r="414" spans="5:49" ht="33" customHeight="1">
      <c r="E414" s="204"/>
      <c r="F414" s="373"/>
      <c r="G414" s="374"/>
      <c r="H414" s="374"/>
      <c r="I414" s="375" t="s">
        <v>587</v>
      </c>
      <c r="J414" s="376"/>
      <c r="K414" s="376"/>
      <c r="L414" s="376"/>
      <c r="M414" s="376"/>
      <c r="N414" s="376"/>
      <c r="O414" s="376"/>
      <c r="P414" s="376"/>
      <c r="Q414" s="376"/>
      <c r="R414" s="376"/>
      <c r="S414" s="376"/>
      <c r="T414" s="376"/>
      <c r="U414" s="376"/>
      <c r="V414" s="376"/>
      <c r="W414" s="376"/>
      <c r="X414" s="376"/>
      <c r="Y414" s="376"/>
      <c r="Z414" s="376"/>
      <c r="AA414" s="376"/>
      <c r="AB414" s="376"/>
      <c r="AC414" s="376"/>
      <c r="AD414" s="376"/>
      <c r="AE414" s="376"/>
      <c r="AF414" s="376"/>
      <c r="AG414" s="376"/>
      <c r="AH414" s="376"/>
      <c r="AI414" s="376"/>
      <c r="AJ414" s="376"/>
      <c r="AK414" s="376"/>
      <c r="AL414" s="376"/>
      <c r="AM414" s="376"/>
      <c r="AN414" s="376"/>
      <c r="AO414" s="377"/>
      <c r="AP414" s="204"/>
      <c r="AQ414" s="204"/>
      <c r="AR414" s="204"/>
      <c r="AT414" s="278"/>
      <c r="AW414" s="262">
        <f>IF(F414="○",1,"")</f>
      </c>
    </row>
    <row r="415" spans="5:49" ht="33" customHeight="1">
      <c r="E415" s="204"/>
      <c r="F415" s="373"/>
      <c r="G415" s="374"/>
      <c r="H415" s="374"/>
      <c r="I415" s="375" t="s">
        <v>591</v>
      </c>
      <c r="J415" s="376"/>
      <c r="K415" s="376"/>
      <c r="L415" s="376"/>
      <c r="M415" s="376"/>
      <c r="N415" s="376"/>
      <c r="O415" s="376"/>
      <c r="P415" s="376"/>
      <c r="Q415" s="376"/>
      <c r="R415" s="376"/>
      <c r="S415" s="376"/>
      <c r="T415" s="376"/>
      <c r="U415" s="376"/>
      <c r="V415" s="376"/>
      <c r="W415" s="376"/>
      <c r="X415" s="376"/>
      <c r="Y415" s="376"/>
      <c r="Z415" s="376"/>
      <c r="AA415" s="376"/>
      <c r="AB415" s="376"/>
      <c r="AC415" s="376"/>
      <c r="AD415" s="376"/>
      <c r="AE415" s="376"/>
      <c r="AF415" s="376"/>
      <c r="AG415" s="376"/>
      <c r="AH415" s="376"/>
      <c r="AI415" s="376"/>
      <c r="AJ415" s="376"/>
      <c r="AK415" s="376"/>
      <c r="AL415" s="376"/>
      <c r="AM415" s="376"/>
      <c r="AN415" s="376"/>
      <c r="AO415" s="377"/>
      <c r="AP415" s="204"/>
      <c r="AQ415" s="204"/>
      <c r="AR415" s="204"/>
      <c r="AT415" s="279"/>
      <c r="AW415" s="262">
        <f aca="true" t="shared" si="132" ref="AW415:AW426">IF(F415="○",1,"")</f>
      </c>
    </row>
    <row r="416" spans="5:49" ht="33" customHeight="1">
      <c r="E416" s="204"/>
      <c r="F416" s="373"/>
      <c r="G416" s="374"/>
      <c r="H416" s="374"/>
      <c r="I416" s="375" t="s">
        <v>592</v>
      </c>
      <c r="J416" s="376"/>
      <c r="K416" s="376"/>
      <c r="L416" s="376"/>
      <c r="M416" s="376"/>
      <c r="N416" s="376"/>
      <c r="O416" s="376"/>
      <c r="P416" s="376"/>
      <c r="Q416" s="376"/>
      <c r="R416" s="376"/>
      <c r="S416" s="376"/>
      <c r="T416" s="376"/>
      <c r="U416" s="376"/>
      <c r="V416" s="376"/>
      <c r="W416" s="376"/>
      <c r="X416" s="376"/>
      <c r="Y416" s="376"/>
      <c r="Z416" s="376"/>
      <c r="AA416" s="376"/>
      <c r="AB416" s="376"/>
      <c r="AC416" s="376"/>
      <c r="AD416" s="376"/>
      <c r="AE416" s="376"/>
      <c r="AF416" s="376"/>
      <c r="AG416" s="376"/>
      <c r="AH416" s="376"/>
      <c r="AI416" s="376"/>
      <c r="AJ416" s="376"/>
      <c r="AK416" s="376"/>
      <c r="AL416" s="376"/>
      <c r="AM416" s="376"/>
      <c r="AN416" s="376"/>
      <c r="AO416" s="377"/>
      <c r="AP416" s="204"/>
      <c r="AQ416" s="204"/>
      <c r="AR416" s="204"/>
      <c r="AT416" s="279"/>
      <c r="AW416" s="262">
        <f t="shared" si="132"/>
      </c>
    </row>
    <row r="417" spans="5:49" ht="33" customHeight="1">
      <c r="E417" s="204"/>
      <c r="F417" s="373"/>
      <c r="G417" s="374"/>
      <c r="H417" s="374"/>
      <c r="I417" s="375" t="s">
        <v>593</v>
      </c>
      <c r="J417" s="376"/>
      <c r="K417" s="376"/>
      <c r="L417" s="376"/>
      <c r="M417" s="376"/>
      <c r="N417" s="376"/>
      <c r="O417" s="376"/>
      <c r="P417" s="376"/>
      <c r="Q417" s="376"/>
      <c r="R417" s="376"/>
      <c r="S417" s="376"/>
      <c r="T417" s="376"/>
      <c r="U417" s="376"/>
      <c r="V417" s="376"/>
      <c r="W417" s="376"/>
      <c r="X417" s="376"/>
      <c r="Y417" s="376"/>
      <c r="Z417" s="376"/>
      <c r="AA417" s="376"/>
      <c r="AB417" s="376"/>
      <c r="AC417" s="376"/>
      <c r="AD417" s="376"/>
      <c r="AE417" s="376"/>
      <c r="AF417" s="376"/>
      <c r="AG417" s="376"/>
      <c r="AH417" s="376"/>
      <c r="AI417" s="376"/>
      <c r="AJ417" s="376"/>
      <c r="AK417" s="376"/>
      <c r="AL417" s="376"/>
      <c r="AM417" s="376"/>
      <c r="AN417" s="376"/>
      <c r="AO417" s="377"/>
      <c r="AP417" s="204"/>
      <c r="AQ417" s="204"/>
      <c r="AR417" s="204"/>
      <c r="AT417" s="279"/>
      <c r="AW417" s="262">
        <f t="shared" si="132"/>
      </c>
    </row>
    <row r="418" spans="5:49" ht="33" customHeight="1">
      <c r="E418" s="204"/>
      <c r="F418" s="373"/>
      <c r="G418" s="374"/>
      <c r="H418" s="374"/>
      <c r="I418" s="375" t="s">
        <v>594</v>
      </c>
      <c r="J418" s="376"/>
      <c r="K418" s="376"/>
      <c r="L418" s="376"/>
      <c r="M418" s="376"/>
      <c r="N418" s="376"/>
      <c r="O418" s="376"/>
      <c r="P418" s="376"/>
      <c r="Q418" s="376"/>
      <c r="R418" s="376"/>
      <c r="S418" s="376"/>
      <c r="T418" s="376"/>
      <c r="U418" s="376"/>
      <c r="V418" s="376"/>
      <c r="W418" s="376"/>
      <c r="X418" s="376"/>
      <c r="Y418" s="376"/>
      <c r="Z418" s="376"/>
      <c r="AA418" s="376"/>
      <c r="AB418" s="376"/>
      <c r="AC418" s="376"/>
      <c r="AD418" s="376"/>
      <c r="AE418" s="376"/>
      <c r="AF418" s="376"/>
      <c r="AG418" s="376"/>
      <c r="AH418" s="376"/>
      <c r="AI418" s="376"/>
      <c r="AJ418" s="376"/>
      <c r="AK418" s="376"/>
      <c r="AL418" s="376"/>
      <c r="AM418" s="376"/>
      <c r="AN418" s="376"/>
      <c r="AO418" s="377"/>
      <c r="AP418" s="204"/>
      <c r="AQ418" s="204"/>
      <c r="AR418" s="204"/>
      <c r="AT418" s="279"/>
      <c r="AW418" s="262">
        <f t="shared" si="132"/>
      </c>
    </row>
    <row r="419" spans="5:49" ht="33" customHeight="1">
      <c r="E419" s="204"/>
      <c r="F419" s="373"/>
      <c r="G419" s="374"/>
      <c r="H419" s="374"/>
      <c r="I419" s="392" t="s">
        <v>595</v>
      </c>
      <c r="J419" s="393"/>
      <c r="K419" s="393"/>
      <c r="L419" s="393"/>
      <c r="M419" s="393"/>
      <c r="N419" s="393"/>
      <c r="O419" s="393"/>
      <c r="P419" s="393"/>
      <c r="Q419" s="393"/>
      <c r="R419" s="393"/>
      <c r="S419" s="393"/>
      <c r="T419" s="393"/>
      <c r="U419" s="393"/>
      <c r="V419" s="393"/>
      <c r="W419" s="393"/>
      <c r="X419" s="393"/>
      <c r="Y419" s="393"/>
      <c r="Z419" s="393"/>
      <c r="AA419" s="393"/>
      <c r="AB419" s="393"/>
      <c r="AC419" s="393"/>
      <c r="AD419" s="393"/>
      <c r="AE419" s="393"/>
      <c r="AF419" s="393"/>
      <c r="AG419" s="393"/>
      <c r="AH419" s="393"/>
      <c r="AI419" s="393"/>
      <c r="AJ419" s="393"/>
      <c r="AK419" s="393"/>
      <c r="AL419" s="393"/>
      <c r="AM419" s="393"/>
      <c r="AN419" s="393"/>
      <c r="AO419" s="394"/>
      <c r="AP419" s="204"/>
      <c r="AQ419" s="204"/>
      <c r="AR419" s="204"/>
      <c r="AT419" s="279"/>
      <c r="AW419" s="262">
        <f t="shared" si="132"/>
      </c>
    </row>
    <row r="420" spans="5:49" ht="33" customHeight="1">
      <c r="E420" s="204"/>
      <c r="F420" s="373"/>
      <c r="G420" s="374"/>
      <c r="H420" s="374"/>
      <c r="I420" s="378" t="s">
        <v>596</v>
      </c>
      <c r="J420" s="376"/>
      <c r="K420" s="376"/>
      <c r="L420" s="376"/>
      <c r="M420" s="376"/>
      <c r="N420" s="376"/>
      <c r="O420" s="376"/>
      <c r="P420" s="376"/>
      <c r="Q420" s="376"/>
      <c r="R420" s="376"/>
      <c r="S420" s="376"/>
      <c r="T420" s="376"/>
      <c r="U420" s="376"/>
      <c r="V420" s="376"/>
      <c r="W420" s="376"/>
      <c r="X420" s="376"/>
      <c r="Y420" s="376"/>
      <c r="Z420" s="376"/>
      <c r="AA420" s="376"/>
      <c r="AB420" s="376"/>
      <c r="AC420" s="376"/>
      <c r="AD420" s="376"/>
      <c r="AE420" s="376"/>
      <c r="AF420" s="376"/>
      <c r="AG420" s="376"/>
      <c r="AH420" s="376"/>
      <c r="AI420" s="376"/>
      <c r="AJ420" s="376"/>
      <c r="AK420" s="376"/>
      <c r="AL420" s="376"/>
      <c r="AM420" s="376"/>
      <c r="AN420" s="376"/>
      <c r="AO420" s="377"/>
      <c r="AP420" s="204"/>
      <c r="AQ420" s="204"/>
      <c r="AR420" s="204"/>
      <c r="AT420" s="279"/>
      <c r="AW420" s="262">
        <f t="shared" si="132"/>
      </c>
    </row>
    <row r="421" spans="5:49" ht="33" customHeight="1">
      <c r="E421" s="204"/>
      <c r="F421" s="373"/>
      <c r="G421" s="374"/>
      <c r="H421" s="374"/>
      <c r="I421" s="378" t="s">
        <v>597</v>
      </c>
      <c r="J421" s="379"/>
      <c r="K421" s="379"/>
      <c r="L421" s="379"/>
      <c r="M421" s="379"/>
      <c r="N421" s="379"/>
      <c r="O421" s="379"/>
      <c r="P421" s="379"/>
      <c r="Q421" s="379"/>
      <c r="R421" s="379"/>
      <c r="S421" s="379"/>
      <c r="T421" s="379"/>
      <c r="U421" s="379"/>
      <c r="V421" s="379"/>
      <c r="W421" s="379"/>
      <c r="X421" s="379"/>
      <c r="Y421" s="379"/>
      <c r="Z421" s="379"/>
      <c r="AA421" s="379"/>
      <c r="AB421" s="379"/>
      <c r="AC421" s="379"/>
      <c r="AD421" s="379"/>
      <c r="AE421" s="379"/>
      <c r="AF421" s="379"/>
      <c r="AG421" s="379"/>
      <c r="AH421" s="379"/>
      <c r="AI421" s="379"/>
      <c r="AJ421" s="379"/>
      <c r="AK421" s="379"/>
      <c r="AL421" s="379"/>
      <c r="AM421" s="379"/>
      <c r="AN421" s="379"/>
      <c r="AO421" s="380"/>
      <c r="AP421" s="204"/>
      <c r="AQ421" s="204"/>
      <c r="AR421" s="204"/>
      <c r="AT421" s="279"/>
      <c r="AW421" s="262">
        <f t="shared" si="132"/>
      </c>
    </row>
    <row r="422" spans="5:49" ht="33" customHeight="1">
      <c r="E422" s="204"/>
      <c r="F422" s="373"/>
      <c r="G422" s="374"/>
      <c r="H422" s="374"/>
      <c r="I422" s="378" t="s">
        <v>598</v>
      </c>
      <c r="J422" s="379"/>
      <c r="K422" s="379"/>
      <c r="L422" s="379"/>
      <c r="M422" s="379"/>
      <c r="N422" s="379"/>
      <c r="O422" s="379"/>
      <c r="P422" s="379"/>
      <c r="Q422" s="379"/>
      <c r="R422" s="379"/>
      <c r="S422" s="379"/>
      <c r="T422" s="379"/>
      <c r="U422" s="379"/>
      <c r="V422" s="379"/>
      <c r="W422" s="379"/>
      <c r="X422" s="379"/>
      <c r="Y422" s="379"/>
      <c r="Z422" s="379"/>
      <c r="AA422" s="379"/>
      <c r="AB422" s="379"/>
      <c r="AC422" s="379"/>
      <c r="AD422" s="379"/>
      <c r="AE422" s="379"/>
      <c r="AF422" s="379"/>
      <c r="AG422" s="379"/>
      <c r="AH422" s="379"/>
      <c r="AI422" s="379"/>
      <c r="AJ422" s="379"/>
      <c r="AK422" s="379"/>
      <c r="AL422" s="379"/>
      <c r="AM422" s="379"/>
      <c r="AN422" s="379"/>
      <c r="AO422" s="380"/>
      <c r="AP422" s="204"/>
      <c r="AQ422" s="204"/>
      <c r="AR422" s="204"/>
      <c r="AT422" s="279"/>
      <c r="AW422" s="262">
        <f t="shared" si="132"/>
      </c>
    </row>
    <row r="423" spans="5:49" ht="33" customHeight="1">
      <c r="E423" s="204"/>
      <c r="F423" s="373"/>
      <c r="G423" s="374"/>
      <c r="H423" s="374"/>
      <c r="I423" s="375" t="s">
        <v>599</v>
      </c>
      <c r="J423" s="376"/>
      <c r="K423" s="376"/>
      <c r="L423" s="376"/>
      <c r="M423" s="376"/>
      <c r="N423" s="376"/>
      <c r="O423" s="376"/>
      <c r="P423" s="376"/>
      <c r="Q423" s="376"/>
      <c r="R423" s="376"/>
      <c r="S423" s="376"/>
      <c r="T423" s="376"/>
      <c r="U423" s="376"/>
      <c r="V423" s="376"/>
      <c r="W423" s="376"/>
      <c r="X423" s="376"/>
      <c r="Y423" s="376"/>
      <c r="Z423" s="376"/>
      <c r="AA423" s="376"/>
      <c r="AB423" s="376"/>
      <c r="AC423" s="376"/>
      <c r="AD423" s="376"/>
      <c r="AE423" s="376"/>
      <c r="AF423" s="376"/>
      <c r="AG423" s="376"/>
      <c r="AH423" s="376"/>
      <c r="AI423" s="376"/>
      <c r="AJ423" s="376"/>
      <c r="AK423" s="376"/>
      <c r="AL423" s="376"/>
      <c r="AM423" s="376"/>
      <c r="AN423" s="376"/>
      <c r="AO423" s="377"/>
      <c r="AP423" s="204"/>
      <c r="AQ423" s="204"/>
      <c r="AR423" s="204"/>
      <c r="AT423" s="279"/>
      <c r="AW423" s="262">
        <f t="shared" si="132"/>
      </c>
    </row>
    <row r="424" spans="5:49" ht="33" customHeight="1" thickBot="1">
      <c r="E424" s="204"/>
      <c r="F424" s="373"/>
      <c r="G424" s="374"/>
      <c r="H424" s="374"/>
      <c r="I424" s="375" t="s">
        <v>600</v>
      </c>
      <c r="J424" s="376"/>
      <c r="K424" s="376"/>
      <c r="L424" s="376"/>
      <c r="M424" s="376"/>
      <c r="N424" s="376"/>
      <c r="O424" s="376"/>
      <c r="P424" s="376"/>
      <c r="Q424" s="376"/>
      <c r="R424" s="376"/>
      <c r="S424" s="376"/>
      <c r="T424" s="376"/>
      <c r="U424" s="376"/>
      <c r="V424" s="376"/>
      <c r="W424" s="376"/>
      <c r="X424" s="376"/>
      <c r="Y424" s="376"/>
      <c r="Z424" s="376"/>
      <c r="AA424" s="376"/>
      <c r="AB424" s="376"/>
      <c r="AC424" s="376"/>
      <c r="AD424" s="376"/>
      <c r="AE424" s="376"/>
      <c r="AF424" s="376"/>
      <c r="AG424" s="376"/>
      <c r="AH424" s="376"/>
      <c r="AI424" s="376"/>
      <c r="AJ424" s="376"/>
      <c r="AK424" s="376"/>
      <c r="AL424" s="376"/>
      <c r="AM424" s="376"/>
      <c r="AN424" s="376"/>
      <c r="AO424" s="377"/>
      <c r="AP424" s="204"/>
      <c r="AQ424" s="204"/>
      <c r="AR424" s="204"/>
      <c r="AT424" s="279"/>
      <c r="AW424" s="262">
        <f t="shared" si="132"/>
      </c>
    </row>
    <row r="425" spans="5:55" ht="33" customHeight="1" thickBot="1">
      <c r="E425" s="204"/>
      <c r="F425" s="373"/>
      <c r="G425" s="374"/>
      <c r="H425" s="374"/>
      <c r="I425" s="375" t="s">
        <v>601</v>
      </c>
      <c r="J425" s="376"/>
      <c r="K425" s="376"/>
      <c r="L425" s="376"/>
      <c r="M425" s="376"/>
      <c r="N425" s="376"/>
      <c r="O425" s="376"/>
      <c r="P425" s="376"/>
      <c r="Q425" s="376"/>
      <c r="R425" s="376"/>
      <c r="S425" s="376"/>
      <c r="T425" s="376"/>
      <c r="U425" s="376"/>
      <c r="V425" s="376"/>
      <c r="W425" s="376"/>
      <c r="X425" s="376"/>
      <c r="Y425" s="376"/>
      <c r="Z425" s="376"/>
      <c r="AA425" s="376"/>
      <c r="AB425" s="376"/>
      <c r="AC425" s="376"/>
      <c r="AD425" s="376"/>
      <c r="AE425" s="376"/>
      <c r="AF425" s="376"/>
      <c r="AG425" s="376"/>
      <c r="AH425" s="376"/>
      <c r="AI425" s="376"/>
      <c r="AJ425" s="376"/>
      <c r="AK425" s="376"/>
      <c r="AL425" s="376"/>
      <c r="AM425" s="376"/>
      <c r="AN425" s="376"/>
      <c r="AO425" s="377"/>
      <c r="AP425" s="256">
        <f>AZ425</f>
      </c>
      <c r="AQ425" s="204"/>
      <c r="AR425" s="204"/>
      <c r="AT425" s="279"/>
      <c r="AW425" s="262">
        <f t="shared" si="132"/>
      </c>
      <c r="AZ425" s="245">
        <f>IF(AND(MID($AF$22,2,1)="N",F425=""),"←表紙の登録番号"&amp;AF22&amp;"が日賦貸金業者で登録となっています。○を記入して下さい。",IF(AND(MID($AF$22,2,1)&lt;&gt;"N",F425="○"),"←表紙の登録番号"&amp;AF23&amp;"では日賦貸金業者として登録されていません。",""))</f>
      </c>
      <c r="BB425" s="262">
        <f>IF(AND(COUNT(AW413:AW425)&gt;=1,AW426=1),BC425,"")</f>
      </c>
      <c r="BC425" s="263" t="s">
        <v>475</v>
      </c>
    </row>
    <row r="426" spans="5:55" ht="33" customHeight="1">
      <c r="E426" s="204"/>
      <c r="F426" s="373"/>
      <c r="G426" s="374"/>
      <c r="H426" s="374"/>
      <c r="I426" s="375" t="s">
        <v>602</v>
      </c>
      <c r="J426" s="376"/>
      <c r="K426" s="376"/>
      <c r="L426" s="376"/>
      <c r="M426" s="376"/>
      <c r="N426" s="376"/>
      <c r="O426" s="376"/>
      <c r="P426" s="376"/>
      <c r="Q426" s="376"/>
      <c r="R426" s="376"/>
      <c r="S426" s="376"/>
      <c r="T426" s="376"/>
      <c r="U426" s="376"/>
      <c r="V426" s="376"/>
      <c r="W426" s="376"/>
      <c r="X426" s="376"/>
      <c r="Y426" s="376"/>
      <c r="Z426" s="376"/>
      <c r="AA426" s="376"/>
      <c r="AB426" s="376"/>
      <c r="AC426" s="376"/>
      <c r="AD426" s="376"/>
      <c r="AE426" s="376"/>
      <c r="AF426" s="376"/>
      <c r="AG426" s="376"/>
      <c r="AH426" s="376"/>
      <c r="AI426" s="376"/>
      <c r="AJ426" s="376"/>
      <c r="AK426" s="376"/>
      <c r="AL426" s="376"/>
      <c r="AM426" s="376"/>
      <c r="AN426" s="376"/>
      <c r="AO426" s="377"/>
      <c r="AP426" s="204"/>
      <c r="AQ426" s="204"/>
      <c r="AR426" s="204"/>
      <c r="AT426" s="279"/>
      <c r="AW426" s="262">
        <f t="shared" si="132"/>
      </c>
      <c r="BB426" s="262" t="str">
        <f>IF(COUNT(AW413:AW426)=0,BC426,"")</f>
        <v>←いずれかの欄に○印をご記載下さい！</v>
      </c>
      <c r="BC426" s="263" t="s">
        <v>476</v>
      </c>
    </row>
    <row r="427" spans="5:44" ht="15" customHeight="1">
      <c r="E427" s="204"/>
      <c r="F427" s="384" t="s">
        <v>588</v>
      </c>
      <c r="G427" s="385"/>
      <c r="H427" s="385"/>
      <c r="I427" s="385"/>
      <c r="J427" s="385"/>
      <c r="K427" s="385"/>
      <c r="L427" s="385"/>
      <c r="M427" s="385"/>
      <c r="N427" s="385"/>
      <c r="O427" s="385"/>
      <c r="P427" s="385"/>
      <c r="Q427" s="385"/>
      <c r="R427" s="385"/>
      <c r="S427" s="385"/>
      <c r="T427" s="385"/>
      <c r="U427" s="385"/>
      <c r="V427" s="385"/>
      <c r="W427" s="385"/>
      <c r="X427" s="385"/>
      <c r="Y427" s="385"/>
      <c r="Z427" s="385"/>
      <c r="AA427" s="385"/>
      <c r="AB427" s="385"/>
      <c r="AC427" s="385"/>
      <c r="AD427" s="385"/>
      <c r="AE427" s="385"/>
      <c r="AF427" s="385"/>
      <c r="AG427" s="385"/>
      <c r="AH427" s="385"/>
      <c r="AI427" s="385"/>
      <c r="AJ427" s="385"/>
      <c r="AK427" s="385"/>
      <c r="AL427" s="385"/>
      <c r="AM427" s="385"/>
      <c r="AN427" s="385"/>
      <c r="AO427" s="386"/>
      <c r="AP427" s="204"/>
      <c r="AQ427" s="204"/>
      <c r="AR427" s="204"/>
    </row>
    <row r="428" spans="5:44" ht="33" customHeight="1">
      <c r="E428" s="204"/>
      <c r="F428" s="381"/>
      <c r="G428" s="382"/>
      <c r="H428" s="382"/>
      <c r="I428" s="382"/>
      <c r="J428" s="382"/>
      <c r="K428" s="382"/>
      <c r="L428" s="382"/>
      <c r="M428" s="382"/>
      <c r="N428" s="382"/>
      <c r="O428" s="382"/>
      <c r="P428" s="382"/>
      <c r="Q428" s="382"/>
      <c r="R428" s="382"/>
      <c r="S428" s="382"/>
      <c r="T428" s="382"/>
      <c r="U428" s="382"/>
      <c r="V428" s="382"/>
      <c r="W428" s="382"/>
      <c r="X428" s="382"/>
      <c r="Y428" s="382"/>
      <c r="Z428" s="382"/>
      <c r="AA428" s="382"/>
      <c r="AB428" s="382"/>
      <c r="AC428" s="382"/>
      <c r="AD428" s="382"/>
      <c r="AE428" s="382"/>
      <c r="AF428" s="382"/>
      <c r="AG428" s="382"/>
      <c r="AH428" s="382"/>
      <c r="AI428" s="382"/>
      <c r="AJ428" s="382"/>
      <c r="AK428" s="382"/>
      <c r="AL428" s="382"/>
      <c r="AM428" s="382"/>
      <c r="AN428" s="382"/>
      <c r="AO428" s="383"/>
      <c r="AP428" s="204"/>
      <c r="AQ428" s="204"/>
      <c r="AR428" s="204"/>
    </row>
    <row r="429" spans="5:44" ht="7.5" customHeight="1">
      <c r="E429" s="204"/>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204"/>
      <c r="AO429" s="204"/>
      <c r="AP429" s="204"/>
      <c r="AQ429" s="204"/>
      <c r="AR429" s="204"/>
    </row>
    <row r="430" spans="5:44" ht="16.5" customHeight="1">
      <c r="E430" s="204"/>
      <c r="F430" s="280" t="s">
        <v>304</v>
      </c>
      <c r="G430" s="280"/>
      <c r="H430" s="280"/>
      <c r="I430" s="280"/>
      <c r="J430" s="280"/>
      <c r="K430" s="280"/>
      <c r="L430" s="280"/>
      <c r="M430" s="280"/>
      <c r="N430" s="202"/>
      <c r="O430" s="202"/>
      <c r="P430" s="202"/>
      <c r="Q430" s="202"/>
      <c r="R430" s="202"/>
      <c r="S430" s="202"/>
      <c r="T430" s="202"/>
      <c r="U430" s="202"/>
      <c r="V430" s="202"/>
      <c r="W430" s="202"/>
      <c r="X430" s="202"/>
      <c r="Y430" s="202"/>
      <c r="Z430" s="202"/>
      <c r="AA430" s="202"/>
      <c r="AB430" s="202"/>
      <c r="AC430" s="202"/>
      <c r="AD430" s="202"/>
      <c r="AE430" s="202"/>
      <c r="AF430" s="202"/>
      <c r="AG430" s="202"/>
      <c r="AH430" s="202"/>
      <c r="AI430" s="202"/>
      <c r="AJ430" s="202"/>
      <c r="AK430" s="202"/>
      <c r="AL430" s="202"/>
      <c r="AM430" s="202"/>
      <c r="AN430" s="202"/>
      <c r="AO430" s="202"/>
      <c r="AP430" s="204"/>
      <c r="AQ430" s="204"/>
      <c r="AR430" s="204"/>
    </row>
    <row r="431" spans="5:44" ht="16.5" customHeight="1">
      <c r="E431" s="204"/>
      <c r="F431" s="280" t="s">
        <v>603</v>
      </c>
      <c r="G431" s="280"/>
      <c r="H431" s="280"/>
      <c r="I431" s="280"/>
      <c r="J431" s="280"/>
      <c r="K431" s="280"/>
      <c r="L431" s="280"/>
      <c r="M431" s="280"/>
      <c r="N431" s="280"/>
      <c r="O431" s="280"/>
      <c r="P431" s="280"/>
      <c r="Q431" s="280"/>
      <c r="R431" s="280"/>
      <c r="S431" s="280"/>
      <c r="T431" s="280"/>
      <c r="U431" s="280"/>
      <c r="V431" s="280"/>
      <c r="W431" s="280"/>
      <c r="X431" s="280"/>
      <c r="Y431" s="280"/>
      <c r="Z431" s="280"/>
      <c r="AA431" s="280"/>
      <c r="AB431" s="280"/>
      <c r="AC431" s="280"/>
      <c r="AD431" s="280"/>
      <c r="AE431" s="280"/>
      <c r="AF431" s="280"/>
      <c r="AG431" s="280"/>
      <c r="AH431" s="280"/>
      <c r="AI431" s="280"/>
      <c r="AJ431" s="280"/>
      <c r="AK431" s="280"/>
      <c r="AL431" s="280"/>
      <c r="AM431" s="280"/>
      <c r="AN431" s="280"/>
      <c r="AO431" s="280"/>
      <c r="AP431" s="204"/>
      <c r="AQ431" s="204"/>
      <c r="AR431" s="204"/>
    </row>
    <row r="432" spans="5:44" ht="11.25" customHeight="1">
      <c r="E432" s="204"/>
      <c r="F432" s="280" t="s">
        <v>527</v>
      </c>
      <c r="G432" s="280"/>
      <c r="H432" s="280"/>
      <c r="I432" s="280"/>
      <c r="J432" s="280"/>
      <c r="K432" s="280"/>
      <c r="L432" s="280"/>
      <c r="M432" s="280"/>
      <c r="N432" s="280"/>
      <c r="O432" s="280"/>
      <c r="P432" s="280"/>
      <c r="Q432" s="280"/>
      <c r="R432" s="280"/>
      <c r="S432" s="280"/>
      <c r="T432" s="280"/>
      <c r="U432" s="280"/>
      <c r="V432" s="280"/>
      <c r="W432" s="280"/>
      <c r="X432" s="280"/>
      <c r="Y432" s="280"/>
      <c r="Z432" s="280"/>
      <c r="AA432" s="280"/>
      <c r="AB432" s="280"/>
      <c r="AC432" s="280"/>
      <c r="AD432" s="280"/>
      <c r="AE432" s="280"/>
      <c r="AF432" s="280"/>
      <c r="AG432" s="280"/>
      <c r="AH432" s="280"/>
      <c r="AI432" s="280"/>
      <c r="AJ432" s="280"/>
      <c r="AK432" s="280"/>
      <c r="AL432" s="280"/>
      <c r="AM432" s="280"/>
      <c r="AN432" s="280"/>
      <c r="AO432" s="280"/>
      <c r="AP432" s="204"/>
      <c r="AQ432" s="204"/>
      <c r="AR432" s="204"/>
    </row>
    <row r="433" spans="5:44" ht="11.25" customHeight="1">
      <c r="E433" s="204"/>
      <c r="F433" s="204"/>
      <c r="G433" s="204"/>
      <c r="H433" s="204"/>
      <c r="I433" s="204"/>
      <c r="J433" s="204"/>
      <c r="K433" s="204"/>
      <c r="L433" s="204"/>
      <c r="M433" s="204"/>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4"/>
      <c r="AL433" s="204"/>
      <c r="AM433" s="204"/>
      <c r="AN433" s="204"/>
      <c r="AO433" s="204"/>
      <c r="AP433" s="204"/>
      <c r="AQ433" s="204"/>
      <c r="AR433" s="204"/>
    </row>
    <row r="434" spans="5:45" ht="16.5" customHeight="1">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c r="AQ434" s="195"/>
      <c r="AR434" s="195"/>
      <c r="AS434" s="151"/>
    </row>
    <row r="435" spans="5:45" ht="16.5" customHeight="1">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c r="AQ435" s="195"/>
      <c r="AR435" s="195"/>
      <c r="AS435" s="151"/>
    </row>
    <row r="436" spans="5:45" ht="16.5" customHeight="1">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c r="AQ436" s="195"/>
      <c r="AR436" s="195"/>
      <c r="AS436" s="151"/>
    </row>
    <row r="437" spans="5:45" ht="16.5" customHeight="1">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c r="AQ437" s="195"/>
      <c r="AR437" s="195"/>
      <c r="AS437" s="151"/>
    </row>
    <row r="438" spans="5:45" ht="16.5" customHeight="1">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c r="AQ438" s="195"/>
      <c r="AR438" s="195"/>
      <c r="AS438" s="151"/>
    </row>
    <row r="439" spans="5:45" ht="16.5" customHeight="1">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c r="AQ439" s="195"/>
      <c r="AR439" s="195"/>
      <c r="AS439" s="151"/>
    </row>
    <row r="440" spans="5:45" ht="16.5" customHeight="1">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c r="AQ440" s="195"/>
      <c r="AR440" s="195"/>
      <c r="AS440" s="151"/>
    </row>
    <row r="441" spans="5:45" ht="16.5" customHeight="1">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c r="AQ441" s="195"/>
      <c r="AR441" s="195"/>
      <c r="AS441" s="151"/>
    </row>
    <row r="442" spans="5:45" ht="16.5" customHeight="1">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c r="AQ442" s="195"/>
      <c r="AR442" s="195"/>
      <c r="AS442" s="151"/>
    </row>
    <row r="443" spans="5:45" ht="16.5" customHeight="1">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c r="AQ443" s="195"/>
      <c r="AR443" s="195"/>
      <c r="AS443" s="151"/>
    </row>
    <row r="444" spans="5:45" ht="16.5" customHeight="1">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c r="AQ444" s="195"/>
      <c r="AR444" s="195"/>
      <c r="AS444" s="151"/>
    </row>
    <row r="445" spans="5:45" ht="16.5" customHeight="1">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c r="AQ445" s="195"/>
      <c r="AR445" s="195"/>
      <c r="AS445" s="151"/>
    </row>
    <row r="446" spans="5:45" ht="16.5" customHeight="1">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c r="AQ446" s="195"/>
      <c r="AR446" s="195"/>
      <c r="AS446" s="151"/>
    </row>
    <row r="447" spans="5:45" ht="16.5" customHeight="1">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c r="AQ447" s="195"/>
      <c r="AR447" s="195"/>
      <c r="AS447" s="151"/>
    </row>
    <row r="448" spans="5:45" ht="16.5" customHeight="1">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c r="AQ448" s="195"/>
      <c r="AR448" s="195"/>
      <c r="AS448" s="151"/>
    </row>
    <row r="449" spans="5:45" ht="16.5" customHeight="1">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c r="AQ449" s="195"/>
      <c r="AR449" s="195"/>
      <c r="AS449" s="151"/>
    </row>
    <row r="450" spans="5:45" ht="16.5" customHeight="1">
      <c r="E450" s="195"/>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c r="AQ450" s="195"/>
      <c r="AR450" s="195"/>
      <c r="AS450" s="151"/>
    </row>
    <row r="451" spans="5:45" ht="16.5" customHeight="1">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c r="AQ451" s="195"/>
      <c r="AR451" s="195"/>
      <c r="AS451" s="151"/>
    </row>
    <row r="452" spans="5:45" ht="16.5" customHeight="1">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c r="AQ452" s="195"/>
      <c r="AR452" s="195"/>
      <c r="AS452" s="151"/>
    </row>
    <row r="453" spans="5:45" ht="16.5" customHeight="1">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c r="AQ453" s="195"/>
      <c r="AR453" s="195"/>
      <c r="AS453" s="151"/>
    </row>
    <row r="454" spans="5:45" ht="16.5" customHeight="1">
      <c r="E454" s="195"/>
      <c r="F454" s="195"/>
      <c r="G454" s="195"/>
      <c r="H454" s="195"/>
      <c r="I454" s="195"/>
      <c r="J454" s="195"/>
      <c r="K454" s="195"/>
      <c r="L454" s="195"/>
      <c r="M454" s="195"/>
      <c r="N454" s="195"/>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c r="AQ454" s="195"/>
      <c r="AR454" s="195"/>
      <c r="AS454" s="151"/>
    </row>
    <row r="455" spans="5:45" ht="16.5" customHeight="1">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c r="AQ455" s="195"/>
      <c r="AR455" s="195"/>
      <c r="AS455" s="151"/>
    </row>
    <row r="456" spans="5:45" ht="16.5" customHeight="1">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c r="AQ456" s="195"/>
      <c r="AR456" s="195"/>
      <c r="AS456" s="151"/>
    </row>
    <row r="457" spans="5:45" ht="16.5" customHeight="1">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c r="AQ457" s="195"/>
      <c r="AR457" s="195"/>
      <c r="AS457" s="151"/>
    </row>
    <row r="458" spans="5:45" ht="16.5" customHeight="1">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c r="AQ458" s="195"/>
      <c r="AR458" s="195"/>
      <c r="AS458" s="151"/>
    </row>
    <row r="459" spans="5:45" ht="16.5" customHeight="1">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c r="AQ459" s="195"/>
      <c r="AR459" s="195"/>
      <c r="AS459" s="151"/>
    </row>
    <row r="460" spans="5:45" ht="16.5" customHeight="1">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c r="AQ460" s="195"/>
      <c r="AR460" s="195"/>
      <c r="AS460" s="151"/>
    </row>
    <row r="461" spans="5:45" ht="16.5" customHeight="1">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c r="AQ461" s="195"/>
      <c r="AR461" s="195"/>
      <c r="AS461" s="151"/>
    </row>
    <row r="462" spans="5:45" ht="16.5" customHeight="1">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c r="AQ462" s="195"/>
      <c r="AR462" s="195"/>
      <c r="AS462" s="151"/>
    </row>
    <row r="463" spans="5:45" ht="16.5" customHeight="1">
      <c r="E463" s="195"/>
      <c r="F463" s="195"/>
      <c r="G463" s="195"/>
      <c r="H463" s="195"/>
      <c r="I463" s="195"/>
      <c r="J463" s="195"/>
      <c r="K463" s="195"/>
      <c r="L463" s="195"/>
      <c r="M463" s="195"/>
      <c r="N463" s="195"/>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c r="AQ463" s="195"/>
      <c r="AR463" s="195"/>
      <c r="AS463" s="151"/>
    </row>
    <row r="464" spans="5:45" ht="16.5" customHeight="1">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c r="AQ464" s="195"/>
      <c r="AR464" s="195"/>
      <c r="AS464" s="151"/>
    </row>
    <row r="465" spans="5:45" ht="16.5" customHeight="1">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c r="AQ465" s="195"/>
      <c r="AR465" s="195"/>
      <c r="AS465" s="151"/>
    </row>
    <row r="466" spans="5:45" ht="16.5" customHeight="1">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c r="AQ466" s="195"/>
      <c r="AR466" s="195"/>
      <c r="AS466" s="151"/>
    </row>
    <row r="467" spans="5:45" ht="16.5" customHeight="1">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c r="AQ467" s="195"/>
      <c r="AR467" s="195"/>
      <c r="AS467" s="151"/>
    </row>
    <row r="468" spans="5:45" ht="16.5" customHeight="1">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c r="AQ468" s="195"/>
      <c r="AR468" s="195"/>
      <c r="AS468" s="151"/>
    </row>
    <row r="469" spans="5:45" ht="16.5" customHeight="1">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c r="AQ469" s="195"/>
      <c r="AR469" s="195"/>
      <c r="AS469" s="151"/>
    </row>
    <row r="470" spans="5:45" ht="16.5" customHeight="1">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c r="AQ470" s="195"/>
      <c r="AR470" s="195"/>
      <c r="AS470" s="151"/>
    </row>
    <row r="471" spans="5:45" ht="16.5" customHeight="1">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c r="AQ471" s="195"/>
      <c r="AR471" s="195"/>
      <c r="AS471" s="151"/>
    </row>
    <row r="472" spans="5:45" ht="16.5" customHeight="1">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c r="AQ472" s="195"/>
      <c r="AR472" s="195"/>
      <c r="AS472" s="151"/>
    </row>
    <row r="473" spans="5:45" ht="16.5" customHeight="1">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c r="AQ473" s="195"/>
      <c r="AR473" s="195"/>
      <c r="AS473" s="151"/>
    </row>
    <row r="474" spans="5:45" ht="16.5" customHeight="1">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c r="AQ474" s="195"/>
      <c r="AR474" s="195"/>
      <c r="AS474" s="151"/>
    </row>
    <row r="475" spans="5:45" ht="16.5" customHeight="1">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c r="AQ475" s="195"/>
      <c r="AR475" s="195"/>
      <c r="AS475" s="151"/>
    </row>
    <row r="476" spans="5:45" ht="16.5" customHeight="1">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c r="AQ476" s="195"/>
      <c r="AR476" s="195"/>
      <c r="AS476" s="151"/>
    </row>
    <row r="477" spans="5:45" ht="16.5" customHeight="1">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c r="AQ477" s="195"/>
      <c r="AR477" s="195"/>
      <c r="AS477" s="151"/>
    </row>
    <row r="478" spans="5:45" ht="16.5" customHeight="1">
      <c r="E478" s="195"/>
      <c r="F478" s="195"/>
      <c r="G478" s="195"/>
      <c r="H478" s="195"/>
      <c r="I478" s="195"/>
      <c r="J478" s="195"/>
      <c r="K478" s="195"/>
      <c r="L478" s="195"/>
      <c r="M478" s="195"/>
      <c r="N478" s="195"/>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c r="AQ478" s="195"/>
      <c r="AR478" s="195"/>
      <c r="AS478" s="151"/>
    </row>
    <row r="479" spans="5:45" ht="16.5" customHeight="1">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c r="AQ479" s="195"/>
      <c r="AR479" s="195"/>
      <c r="AS479" s="151"/>
    </row>
    <row r="480" spans="5:45" ht="16.5" customHeight="1">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c r="AQ480" s="195"/>
      <c r="AR480" s="195"/>
      <c r="AS480" s="151"/>
    </row>
    <row r="481" spans="5:45" ht="16.5" customHeight="1">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51"/>
    </row>
    <row r="482" spans="5:45" ht="16.5" customHeight="1">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51"/>
    </row>
    <row r="483" spans="5:45" ht="16.5" customHeight="1">
      <c r="E483" s="195"/>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51"/>
    </row>
    <row r="484" spans="5:45" ht="16.5" customHeight="1">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c r="AQ484" s="195"/>
      <c r="AR484" s="195"/>
      <c r="AS484" s="151"/>
    </row>
    <row r="485" spans="5:45" ht="16.5" customHeight="1">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c r="AQ485" s="195"/>
      <c r="AR485" s="195"/>
      <c r="AS485" s="151"/>
    </row>
    <row r="486" spans="5:45" ht="16.5" customHeight="1">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c r="AQ486" s="195"/>
      <c r="AR486" s="195"/>
      <c r="AS486" s="151"/>
    </row>
    <row r="487" spans="5:45" ht="16.5" customHeight="1">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c r="AQ487" s="195"/>
      <c r="AR487" s="195"/>
      <c r="AS487" s="151"/>
    </row>
    <row r="488" spans="5:45" ht="16.5" customHeight="1">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c r="AQ488" s="195"/>
      <c r="AR488" s="195"/>
      <c r="AS488" s="151"/>
    </row>
    <row r="489" spans="5:45" ht="16.5" customHeight="1">
      <c r="E489" s="195"/>
      <c r="F489" s="195"/>
      <c r="G489" s="195"/>
      <c r="H489" s="195"/>
      <c r="I489" s="195"/>
      <c r="J489" s="195"/>
      <c r="K489" s="195"/>
      <c r="L489" s="195"/>
      <c r="M489" s="195"/>
      <c r="N489" s="195"/>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c r="AQ489" s="195"/>
      <c r="AR489" s="195"/>
      <c r="AS489" s="151"/>
    </row>
    <row r="490" spans="5:45" ht="16.5" customHeight="1">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c r="AQ490" s="195"/>
      <c r="AR490" s="195"/>
      <c r="AS490" s="151"/>
    </row>
    <row r="491" spans="5:45" ht="16.5" customHeight="1">
      <c r="E491" s="195"/>
      <c r="F491" s="195"/>
      <c r="G491" s="195"/>
      <c r="H491" s="195"/>
      <c r="I491" s="195"/>
      <c r="J491" s="195"/>
      <c r="K491" s="195"/>
      <c r="L491" s="195"/>
      <c r="M491" s="195"/>
      <c r="N491" s="195"/>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c r="AQ491" s="195"/>
      <c r="AR491" s="195"/>
      <c r="AS491" s="151"/>
    </row>
    <row r="492" spans="5:45" ht="16.5" customHeight="1">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c r="AQ492" s="195"/>
      <c r="AR492" s="195"/>
      <c r="AS492" s="151"/>
    </row>
    <row r="493" spans="5:45" ht="16.5" customHeight="1">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51"/>
    </row>
    <row r="494" spans="5:45" ht="16.5" customHeight="1">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c r="AQ494" s="195"/>
      <c r="AR494" s="195"/>
      <c r="AS494" s="151"/>
    </row>
    <row r="495" spans="5:45" ht="16.5" customHeight="1">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c r="AQ495" s="195"/>
      <c r="AR495" s="195"/>
      <c r="AS495" s="151"/>
    </row>
    <row r="496" spans="5:45" ht="16.5" customHeight="1">
      <c r="E496" s="195"/>
      <c r="F496" s="195"/>
      <c r="G496" s="195"/>
      <c r="H496" s="195"/>
      <c r="I496" s="195"/>
      <c r="J496" s="195"/>
      <c r="K496" s="195"/>
      <c r="L496" s="195"/>
      <c r="M496" s="195"/>
      <c r="N496" s="195"/>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c r="AQ496" s="195"/>
      <c r="AR496" s="195"/>
      <c r="AS496" s="151"/>
    </row>
    <row r="497" spans="5:45" ht="16.5" customHeight="1">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c r="AQ497" s="195"/>
      <c r="AR497" s="195"/>
      <c r="AS497" s="151"/>
    </row>
    <row r="498" spans="5:45" ht="16.5" customHeight="1">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c r="AQ498" s="195"/>
      <c r="AR498" s="195"/>
      <c r="AS498" s="151"/>
    </row>
    <row r="499" spans="5:45" ht="16.5" customHeight="1">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c r="AQ499" s="195"/>
      <c r="AR499" s="195"/>
      <c r="AS499" s="151"/>
    </row>
    <row r="500" spans="5:45" ht="16.5" customHeight="1">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c r="AQ500" s="195"/>
      <c r="AR500" s="195"/>
      <c r="AS500" s="151"/>
    </row>
    <row r="501" spans="5:45" ht="16.5" customHeight="1">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c r="AQ501" s="195"/>
      <c r="AR501" s="195"/>
      <c r="AS501" s="151"/>
    </row>
    <row r="502" spans="5:45" ht="16.5" customHeight="1">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c r="AQ502" s="195"/>
      <c r="AR502" s="195"/>
      <c r="AS502" s="151"/>
    </row>
    <row r="503" spans="5:45" ht="16.5" customHeight="1">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c r="AQ503" s="195"/>
      <c r="AR503" s="195"/>
      <c r="AS503" s="151"/>
    </row>
    <row r="504" spans="5:45" ht="16.5" customHeight="1">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c r="AQ504" s="195"/>
      <c r="AR504" s="195"/>
      <c r="AS504" s="151"/>
    </row>
    <row r="505" spans="5:45" ht="16.5" customHeight="1">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c r="AQ505" s="195"/>
      <c r="AR505" s="195"/>
      <c r="AS505" s="151"/>
    </row>
    <row r="506" spans="5:45" ht="16.5" customHeight="1">
      <c r="E506" s="195"/>
      <c r="F506" s="195"/>
      <c r="G506" s="195"/>
      <c r="H506" s="195"/>
      <c r="I506" s="195"/>
      <c r="J506" s="195"/>
      <c r="K506" s="195"/>
      <c r="L506" s="195"/>
      <c r="M506" s="195"/>
      <c r="N506" s="195"/>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c r="AQ506" s="195"/>
      <c r="AR506" s="195"/>
      <c r="AS506" s="151"/>
    </row>
    <row r="507" spans="5:45" ht="16.5" customHeight="1">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c r="AQ507" s="195"/>
      <c r="AR507" s="195"/>
      <c r="AS507" s="151"/>
    </row>
    <row r="508" spans="5:45" ht="16.5" customHeight="1">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c r="AQ508" s="195"/>
      <c r="AR508" s="195"/>
      <c r="AS508" s="151"/>
    </row>
    <row r="509" spans="5:45" ht="16.5" customHeight="1">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c r="AQ509" s="195"/>
      <c r="AR509" s="195"/>
      <c r="AS509" s="151"/>
    </row>
    <row r="510" spans="5:45" ht="16.5" customHeight="1">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c r="AQ510" s="195"/>
      <c r="AR510" s="195"/>
      <c r="AS510" s="151"/>
    </row>
    <row r="511" spans="5:45" ht="16.5" customHeight="1">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c r="AQ511" s="195"/>
      <c r="AR511" s="195"/>
      <c r="AS511" s="151"/>
    </row>
    <row r="512" spans="5:45" ht="16.5" customHeight="1">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c r="AQ512" s="195"/>
      <c r="AR512" s="195"/>
      <c r="AS512" s="151"/>
    </row>
    <row r="513" spans="5:45" ht="16.5" customHeight="1">
      <c r="E513" s="195"/>
      <c r="F513" s="195"/>
      <c r="G513" s="195"/>
      <c r="H513" s="195"/>
      <c r="I513" s="195"/>
      <c r="J513" s="195"/>
      <c r="K513" s="195"/>
      <c r="L513" s="195"/>
      <c r="M513" s="195"/>
      <c r="N513" s="195"/>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c r="AQ513" s="195"/>
      <c r="AR513" s="195"/>
      <c r="AS513" s="151"/>
    </row>
    <row r="514" spans="5:45" ht="16.5" customHeight="1">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c r="AQ514" s="195"/>
      <c r="AR514" s="195"/>
      <c r="AS514" s="151"/>
    </row>
    <row r="515" spans="5:45" ht="16.5" customHeight="1">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c r="AQ515" s="195"/>
      <c r="AR515" s="195"/>
      <c r="AS515" s="151"/>
    </row>
    <row r="516" spans="5:45" ht="16.5" customHeight="1">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c r="AQ516" s="195"/>
      <c r="AR516" s="195"/>
      <c r="AS516" s="151"/>
    </row>
    <row r="517" spans="5:45" ht="16.5" customHeight="1">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c r="AQ517" s="195"/>
      <c r="AR517" s="195"/>
      <c r="AS517" s="151"/>
    </row>
    <row r="518" spans="5:45" ht="16.5" customHeight="1">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c r="AQ518" s="195"/>
      <c r="AR518" s="195"/>
      <c r="AS518" s="151"/>
    </row>
    <row r="519" spans="5:45" ht="16.5" customHeight="1">
      <c r="E519" s="195"/>
      <c r="F519" s="195"/>
      <c r="G519" s="195"/>
      <c r="H519" s="195"/>
      <c r="I519" s="195"/>
      <c r="J519" s="195"/>
      <c r="K519" s="195"/>
      <c r="L519" s="195"/>
      <c r="M519" s="195"/>
      <c r="N519" s="195"/>
      <c r="O519" s="195"/>
      <c r="P519" s="195"/>
      <c r="Q519" s="195"/>
      <c r="R519" s="195"/>
      <c r="S519" s="195"/>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c r="AQ519" s="195"/>
      <c r="AR519" s="195"/>
      <c r="AS519" s="151"/>
    </row>
    <row r="520" spans="5:45" ht="16.5" customHeight="1">
      <c r="E520" s="195"/>
      <c r="F520" s="195"/>
      <c r="G520" s="195"/>
      <c r="H520" s="195"/>
      <c r="I520" s="195"/>
      <c r="J520" s="195"/>
      <c r="K520" s="195"/>
      <c r="L520" s="195"/>
      <c r="M520" s="195"/>
      <c r="N520" s="195"/>
      <c r="O520" s="195"/>
      <c r="P520" s="195"/>
      <c r="Q520" s="195"/>
      <c r="R520" s="195"/>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c r="AQ520" s="195"/>
      <c r="AR520" s="195"/>
      <c r="AS520" s="151"/>
    </row>
    <row r="521" spans="5:45" ht="16.5" customHeight="1">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c r="AQ521" s="195"/>
      <c r="AR521" s="195"/>
      <c r="AS521" s="151"/>
    </row>
    <row r="522" spans="5:45" ht="16.5" customHeight="1">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c r="AQ522" s="195"/>
      <c r="AR522" s="195"/>
      <c r="AS522" s="151"/>
    </row>
    <row r="523" spans="5:45" ht="16.5" customHeight="1">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c r="AQ523" s="195"/>
      <c r="AR523" s="195"/>
      <c r="AS523" s="151"/>
    </row>
    <row r="524" spans="5:45" ht="16.5" customHeight="1">
      <c r="E524" s="195"/>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c r="AQ524" s="195"/>
      <c r="AR524" s="195"/>
      <c r="AS524" s="151"/>
    </row>
    <row r="525" spans="5:45" ht="16.5" customHeight="1">
      <c r="E525" s="195"/>
      <c r="F525" s="195"/>
      <c r="G525" s="195"/>
      <c r="H525" s="195"/>
      <c r="I525" s="195"/>
      <c r="J525" s="195"/>
      <c r="K525" s="195"/>
      <c r="L525" s="195"/>
      <c r="M525" s="195"/>
      <c r="N525" s="195"/>
      <c r="O525" s="195"/>
      <c r="P525" s="195"/>
      <c r="Q525" s="195"/>
      <c r="R525" s="195"/>
      <c r="S525" s="195"/>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c r="AQ525" s="195"/>
      <c r="AR525" s="195"/>
      <c r="AS525" s="151"/>
    </row>
    <row r="526" spans="5:45" ht="16.5" customHeight="1">
      <c r="E526" s="195"/>
      <c r="F526" s="195"/>
      <c r="G526" s="195"/>
      <c r="H526" s="195"/>
      <c r="I526" s="195"/>
      <c r="J526" s="195"/>
      <c r="K526" s="195"/>
      <c r="L526" s="195"/>
      <c r="M526" s="195"/>
      <c r="N526" s="195"/>
      <c r="O526" s="195"/>
      <c r="P526" s="195"/>
      <c r="Q526" s="195"/>
      <c r="R526" s="195"/>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c r="AQ526" s="195"/>
      <c r="AR526" s="195"/>
      <c r="AS526" s="151"/>
    </row>
    <row r="527" spans="5:45" ht="16.5" customHeight="1">
      <c r="E527" s="195"/>
      <c r="F527" s="195"/>
      <c r="G527" s="195"/>
      <c r="H527" s="195"/>
      <c r="I527" s="195"/>
      <c r="J527" s="195"/>
      <c r="K527" s="195"/>
      <c r="L527" s="195"/>
      <c r="M527" s="195"/>
      <c r="N527" s="195"/>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c r="AQ527" s="195"/>
      <c r="AR527" s="195"/>
      <c r="AS527" s="151"/>
    </row>
    <row r="528" spans="5:45" ht="16.5" customHeight="1">
      <c r="E528" s="195"/>
      <c r="F528" s="195"/>
      <c r="G528" s="195"/>
      <c r="H528" s="195"/>
      <c r="I528" s="195"/>
      <c r="J528" s="195"/>
      <c r="K528" s="195"/>
      <c r="L528" s="195"/>
      <c r="M528" s="195"/>
      <c r="N528" s="195"/>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c r="AQ528" s="195"/>
      <c r="AR528" s="195"/>
      <c r="AS528" s="151"/>
    </row>
    <row r="529" spans="5:45" ht="16.5" customHeight="1">
      <c r="E529" s="195"/>
      <c r="F529" s="195"/>
      <c r="G529" s="195"/>
      <c r="H529" s="195"/>
      <c r="I529" s="195"/>
      <c r="J529" s="195"/>
      <c r="K529" s="195"/>
      <c r="L529" s="195"/>
      <c r="M529" s="195"/>
      <c r="N529" s="195"/>
      <c r="O529" s="195"/>
      <c r="P529" s="195"/>
      <c r="Q529" s="195"/>
      <c r="R529" s="195"/>
      <c r="S529" s="195"/>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c r="AQ529" s="195"/>
      <c r="AR529" s="195"/>
      <c r="AS529" s="151"/>
    </row>
    <row r="530" spans="5:45" ht="16.5" customHeight="1">
      <c r="E530" s="195"/>
      <c r="F530" s="195"/>
      <c r="G530" s="195"/>
      <c r="H530" s="195"/>
      <c r="I530" s="195"/>
      <c r="J530" s="195"/>
      <c r="K530" s="195"/>
      <c r="L530" s="195"/>
      <c r="M530" s="195"/>
      <c r="N530" s="195"/>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c r="AQ530" s="195"/>
      <c r="AR530" s="195"/>
      <c r="AS530" s="151"/>
    </row>
    <row r="531" spans="5:45" ht="16.5" customHeight="1">
      <c r="E531" s="195"/>
      <c r="F531" s="195"/>
      <c r="G531" s="195"/>
      <c r="H531" s="195"/>
      <c r="I531" s="195"/>
      <c r="J531" s="195"/>
      <c r="K531" s="195"/>
      <c r="L531" s="195"/>
      <c r="M531" s="195"/>
      <c r="N531" s="195"/>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c r="AQ531" s="195"/>
      <c r="AR531" s="195"/>
      <c r="AS531" s="151"/>
    </row>
    <row r="532" spans="5:45" ht="16.5" customHeight="1">
      <c r="E532" s="195"/>
      <c r="F532" s="195"/>
      <c r="G532" s="195"/>
      <c r="H532" s="195"/>
      <c r="I532" s="195"/>
      <c r="J532" s="195"/>
      <c r="K532" s="195"/>
      <c r="L532" s="195"/>
      <c r="M532" s="195"/>
      <c r="N532" s="195"/>
      <c r="O532" s="195"/>
      <c r="P532" s="195"/>
      <c r="Q532" s="195"/>
      <c r="R532" s="195"/>
      <c r="S532" s="195"/>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c r="AQ532" s="195"/>
      <c r="AR532" s="195"/>
      <c r="AS532" s="151"/>
    </row>
    <row r="533" spans="5:45" ht="16.5" customHeight="1">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c r="AQ533" s="195"/>
      <c r="AR533" s="195"/>
      <c r="AS533" s="151"/>
    </row>
    <row r="534" spans="5:45" ht="16.5" customHeight="1">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c r="AQ534" s="195"/>
      <c r="AR534" s="195"/>
      <c r="AS534" s="151"/>
    </row>
    <row r="535" spans="5:45" ht="16.5" customHeight="1">
      <c r="E535" s="195"/>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51"/>
    </row>
    <row r="536" spans="5:45" ht="16.5" customHeight="1">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51"/>
    </row>
    <row r="537" spans="5:45" ht="16.5" customHeight="1">
      <c r="E537" s="195"/>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51"/>
    </row>
    <row r="538" spans="5:45" ht="16.5" customHeight="1">
      <c r="E538" s="195"/>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c r="AQ538" s="195"/>
      <c r="AR538" s="195"/>
      <c r="AS538" s="151"/>
    </row>
    <row r="539" spans="5:45" ht="16.5" customHeight="1">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c r="AQ539" s="195"/>
      <c r="AR539" s="195"/>
      <c r="AS539" s="151"/>
    </row>
    <row r="540" spans="5:45" ht="16.5" customHeight="1">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c r="AQ540" s="195"/>
      <c r="AR540" s="195"/>
      <c r="AS540" s="151"/>
    </row>
    <row r="541" spans="5:45" ht="16.5" customHeight="1">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c r="AQ541" s="195"/>
      <c r="AR541" s="195"/>
      <c r="AS541" s="151"/>
    </row>
    <row r="542" spans="5:45" ht="16.5" customHeight="1">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c r="AQ542" s="195"/>
      <c r="AR542" s="195"/>
      <c r="AS542" s="151"/>
    </row>
    <row r="543" spans="5:45" ht="16.5" customHeight="1">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c r="AQ543" s="195"/>
      <c r="AR543" s="195"/>
      <c r="AS543" s="151"/>
    </row>
    <row r="544" spans="5:45" ht="16.5" customHeight="1">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c r="AQ544" s="195"/>
      <c r="AR544" s="195"/>
      <c r="AS544" s="151"/>
    </row>
    <row r="545" spans="5:45" ht="16.5" customHeight="1">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c r="AQ545" s="195"/>
      <c r="AR545" s="195"/>
      <c r="AS545" s="151"/>
    </row>
    <row r="546" spans="5:45" ht="16.5" customHeight="1">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c r="AQ546" s="195"/>
      <c r="AR546" s="195"/>
      <c r="AS546" s="151"/>
    </row>
    <row r="547" spans="5:45" ht="16.5" customHeight="1">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c r="AQ547" s="195"/>
      <c r="AR547" s="195"/>
      <c r="AS547" s="151"/>
    </row>
    <row r="548" spans="5:45" ht="16.5" customHeight="1">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c r="AQ548" s="195"/>
      <c r="AR548" s="195"/>
      <c r="AS548" s="151"/>
    </row>
    <row r="549" spans="5:45" ht="16.5" customHeight="1">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c r="AQ549" s="195"/>
      <c r="AR549" s="195"/>
      <c r="AS549" s="151"/>
    </row>
    <row r="550" spans="5:45" ht="16.5" customHeight="1">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c r="AQ550" s="195"/>
      <c r="AR550" s="195"/>
      <c r="AS550" s="151"/>
    </row>
    <row r="551" spans="5:45" ht="16.5" customHeight="1">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c r="AQ551" s="195"/>
      <c r="AR551" s="195"/>
      <c r="AS551" s="151"/>
    </row>
    <row r="552" spans="5:45" ht="16.5" customHeight="1">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c r="AQ552" s="195"/>
      <c r="AR552" s="195"/>
      <c r="AS552" s="151"/>
    </row>
    <row r="553" spans="5:45" ht="16.5" customHeight="1">
      <c r="E553" s="195"/>
      <c r="F553" s="195"/>
      <c r="G553" s="195"/>
      <c r="H553" s="195"/>
      <c r="I553" s="195"/>
      <c r="J553" s="195"/>
      <c r="K553" s="195"/>
      <c r="L553" s="195"/>
      <c r="M553" s="195"/>
      <c r="N553" s="195"/>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c r="AQ553" s="195"/>
      <c r="AR553" s="195"/>
      <c r="AS553" s="151"/>
    </row>
    <row r="554" spans="5:45" ht="16.5" customHeight="1">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c r="AQ554" s="195"/>
      <c r="AR554" s="195"/>
      <c r="AS554" s="151"/>
    </row>
    <row r="555" spans="5:45" ht="16.5" customHeight="1">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c r="AQ555" s="195"/>
      <c r="AR555" s="195"/>
      <c r="AS555" s="151"/>
    </row>
    <row r="556" spans="5:45" ht="16.5" customHeight="1">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c r="AQ556" s="195"/>
      <c r="AR556" s="195"/>
      <c r="AS556" s="151"/>
    </row>
    <row r="557" spans="5:45" ht="16.5" customHeight="1">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c r="AQ557" s="195"/>
      <c r="AR557" s="195"/>
      <c r="AS557" s="151"/>
    </row>
    <row r="558" spans="5:45" ht="16.5" customHeight="1">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c r="AQ558" s="195"/>
      <c r="AR558" s="195"/>
      <c r="AS558" s="151"/>
    </row>
    <row r="559" spans="5:45" ht="16.5" customHeight="1">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c r="AQ559" s="195"/>
      <c r="AR559" s="195"/>
      <c r="AS559" s="151"/>
    </row>
    <row r="560" spans="5:45" ht="16.5" customHeight="1">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c r="AQ560" s="195"/>
      <c r="AR560" s="195"/>
      <c r="AS560" s="151"/>
    </row>
    <row r="561" spans="5:45" ht="16.5" customHeight="1">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51"/>
    </row>
    <row r="562" spans="5:45" ht="16.5" customHeight="1">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c r="AQ562" s="195"/>
      <c r="AR562" s="195"/>
      <c r="AS562" s="151"/>
    </row>
    <row r="563" spans="5:45" ht="16.5" customHeight="1">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c r="AQ563" s="195"/>
      <c r="AR563" s="195"/>
      <c r="AS563" s="151"/>
    </row>
    <row r="564" spans="5:45" ht="16.5" customHeight="1">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c r="AQ564" s="195"/>
      <c r="AR564" s="195"/>
      <c r="AS564" s="151"/>
    </row>
    <row r="565" spans="5:45" ht="16.5" customHeight="1">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c r="AQ565" s="195"/>
      <c r="AR565" s="195"/>
      <c r="AS565" s="151"/>
    </row>
    <row r="566" spans="5:45" ht="16.5" customHeight="1">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c r="AQ566" s="195"/>
      <c r="AR566" s="195"/>
      <c r="AS566" s="151"/>
    </row>
    <row r="567" spans="5:45" ht="16.5" customHeight="1">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c r="AQ567" s="195"/>
      <c r="AR567" s="195"/>
      <c r="AS567" s="151"/>
    </row>
    <row r="568" spans="5:45" ht="16.5" customHeight="1">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c r="AQ568" s="195"/>
      <c r="AR568" s="195"/>
      <c r="AS568" s="151"/>
    </row>
    <row r="569" spans="5:45" ht="16.5" customHeight="1">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c r="AQ569" s="195"/>
      <c r="AR569" s="195"/>
      <c r="AS569" s="151"/>
    </row>
    <row r="570" spans="5:45" ht="16.5" customHeight="1">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c r="AQ570" s="195"/>
      <c r="AR570" s="195"/>
      <c r="AS570" s="151"/>
    </row>
    <row r="571" spans="5:45" ht="16.5" customHeight="1">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c r="AQ571" s="195"/>
      <c r="AR571" s="195"/>
      <c r="AS571" s="151"/>
    </row>
    <row r="572" spans="5:45" ht="16.5" customHeight="1">
      <c r="E572" s="195"/>
      <c r="F572" s="195"/>
      <c r="G572" s="195"/>
      <c r="H572" s="195"/>
      <c r="I572" s="195"/>
      <c r="J572" s="195"/>
      <c r="K572" s="195"/>
      <c r="L572" s="195"/>
      <c r="M572" s="195"/>
      <c r="N572" s="195"/>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c r="AQ572" s="195"/>
      <c r="AR572" s="195"/>
      <c r="AS572" s="151"/>
    </row>
    <row r="573" spans="5:45" ht="16.5" customHeight="1">
      <c r="E573" s="195"/>
      <c r="F573" s="195"/>
      <c r="G573" s="195"/>
      <c r="H573" s="195"/>
      <c r="I573" s="195"/>
      <c r="J573" s="195"/>
      <c r="K573" s="195"/>
      <c r="L573" s="195"/>
      <c r="M573" s="195"/>
      <c r="N573" s="195"/>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c r="AQ573" s="195"/>
      <c r="AR573" s="195"/>
      <c r="AS573" s="151"/>
    </row>
    <row r="574" spans="5:45" ht="16.5" customHeight="1">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c r="AQ574" s="195"/>
      <c r="AR574" s="195"/>
      <c r="AS574" s="151"/>
    </row>
    <row r="575" spans="5:45" ht="16.5" customHeight="1">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c r="AQ575" s="195"/>
      <c r="AR575" s="195"/>
      <c r="AS575" s="151"/>
    </row>
    <row r="576" spans="5:45" ht="16.5" customHeight="1">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c r="AQ576" s="195"/>
      <c r="AR576" s="195"/>
      <c r="AS576" s="151"/>
    </row>
    <row r="577" spans="5:45" ht="16.5" customHeight="1">
      <c r="E577" s="195"/>
      <c r="F577" s="195"/>
      <c r="G577" s="195"/>
      <c r="H577" s="195"/>
      <c r="I577" s="195"/>
      <c r="J577" s="195"/>
      <c r="K577" s="195"/>
      <c r="L577" s="195"/>
      <c r="M577" s="195"/>
      <c r="N577" s="195"/>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c r="AQ577" s="195"/>
      <c r="AR577" s="195"/>
      <c r="AS577" s="151"/>
    </row>
    <row r="578" spans="5:45" ht="16.5" customHeight="1">
      <c r="E578" s="195"/>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c r="AQ578" s="195"/>
      <c r="AR578" s="195"/>
      <c r="AS578" s="151"/>
    </row>
    <row r="579" spans="5:45" ht="16.5" customHeight="1">
      <c r="E579" s="195"/>
      <c r="F579" s="195"/>
      <c r="G579" s="195"/>
      <c r="H579" s="195"/>
      <c r="I579" s="195"/>
      <c r="J579" s="195"/>
      <c r="K579" s="195"/>
      <c r="L579" s="195"/>
      <c r="M579" s="195"/>
      <c r="N579" s="195"/>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c r="AQ579" s="195"/>
      <c r="AR579" s="195"/>
      <c r="AS579" s="151"/>
    </row>
    <row r="580" spans="5:45" ht="16.5" customHeight="1">
      <c r="E580" s="195"/>
      <c r="F580" s="195"/>
      <c r="G580" s="195"/>
      <c r="H580" s="195"/>
      <c r="I580" s="195"/>
      <c r="J580" s="195"/>
      <c r="K580" s="195"/>
      <c r="L580" s="195"/>
      <c r="M580" s="195"/>
      <c r="N580" s="195"/>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c r="AQ580" s="195"/>
      <c r="AR580" s="195"/>
      <c r="AS580" s="151"/>
    </row>
    <row r="581" spans="5:45" ht="16.5" customHeight="1">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c r="AQ581" s="195"/>
      <c r="AR581" s="195"/>
      <c r="AS581" s="151"/>
    </row>
    <row r="582" spans="5:45" ht="16.5" customHeight="1">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c r="AQ582" s="195"/>
      <c r="AR582" s="195"/>
      <c r="AS582" s="151"/>
    </row>
    <row r="583" spans="5:45" ht="16.5" customHeight="1">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c r="AQ583" s="195"/>
      <c r="AR583" s="195"/>
      <c r="AS583" s="151"/>
    </row>
    <row r="584" spans="5:45" ht="16.5" customHeight="1">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c r="AQ584" s="195"/>
      <c r="AR584" s="195"/>
      <c r="AS584" s="151"/>
    </row>
    <row r="585" spans="5:45" ht="16.5" customHeight="1">
      <c r="E585" s="195"/>
      <c r="F585" s="195"/>
      <c r="G585" s="195"/>
      <c r="H585" s="195"/>
      <c r="I585" s="195"/>
      <c r="J585" s="195"/>
      <c r="K585" s="195"/>
      <c r="L585" s="195"/>
      <c r="M585" s="195"/>
      <c r="N585" s="195"/>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c r="AQ585" s="195"/>
      <c r="AR585" s="195"/>
      <c r="AS585" s="151"/>
    </row>
    <row r="586" spans="5:45" ht="16.5" customHeight="1">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c r="AQ586" s="195"/>
      <c r="AR586" s="195"/>
      <c r="AS586" s="151"/>
    </row>
    <row r="587" spans="5:45" ht="16.5" customHeight="1">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c r="AQ587" s="195"/>
      <c r="AR587" s="195"/>
      <c r="AS587" s="151"/>
    </row>
    <row r="588" spans="5:45" ht="16.5" customHeight="1">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c r="AQ588" s="195"/>
      <c r="AR588" s="195"/>
      <c r="AS588" s="151"/>
    </row>
    <row r="589" spans="5:45" ht="16.5" customHeight="1">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51"/>
    </row>
    <row r="590" spans="5:45" ht="16.5" customHeight="1">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51"/>
    </row>
    <row r="591" spans="5:45" ht="16.5" customHeight="1">
      <c r="E591" s="195"/>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51"/>
    </row>
    <row r="592" spans="5:45" ht="16.5" customHeight="1">
      <c r="E592" s="195"/>
      <c r="F592" s="195"/>
      <c r="G592" s="195"/>
      <c r="H592" s="195"/>
      <c r="I592" s="195"/>
      <c r="J592" s="195"/>
      <c r="K592" s="195"/>
      <c r="L592" s="195"/>
      <c r="M592" s="195"/>
      <c r="N592" s="195"/>
      <c r="O592" s="195"/>
      <c r="P592" s="195"/>
      <c r="Q592" s="195"/>
      <c r="R592" s="195"/>
      <c r="S592" s="195"/>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c r="AQ592" s="195"/>
      <c r="AR592" s="195"/>
      <c r="AS592" s="151"/>
    </row>
    <row r="593" spans="5:45" ht="16.5" customHeight="1">
      <c r="E593" s="195"/>
      <c r="F593" s="195"/>
      <c r="G593" s="195"/>
      <c r="H593" s="195"/>
      <c r="I593" s="195"/>
      <c r="J593" s="195"/>
      <c r="K593" s="195"/>
      <c r="L593" s="195"/>
      <c r="M593" s="195"/>
      <c r="N593" s="195"/>
      <c r="O593" s="195"/>
      <c r="P593" s="195"/>
      <c r="Q593" s="195"/>
      <c r="R593" s="195"/>
      <c r="S593" s="195"/>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c r="AQ593" s="195"/>
      <c r="AR593" s="195"/>
      <c r="AS593" s="151"/>
    </row>
    <row r="594" spans="5:45" ht="16.5" customHeight="1">
      <c r="E594" s="195"/>
      <c r="F594" s="195"/>
      <c r="G594" s="195"/>
      <c r="H594" s="195"/>
      <c r="I594" s="195"/>
      <c r="J594" s="195"/>
      <c r="K594" s="195"/>
      <c r="L594" s="195"/>
      <c r="M594" s="195"/>
      <c r="N594" s="195"/>
      <c r="O594" s="195"/>
      <c r="P594" s="195"/>
      <c r="Q594" s="195"/>
      <c r="R594" s="195"/>
      <c r="S594" s="195"/>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c r="AQ594" s="195"/>
      <c r="AR594" s="195"/>
      <c r="AS594" s="151"/>
    </row>
    <row r="595" spans="5:45" ht="16.5" customHeight="1">
      <c r="E595" s="195"/>
      <c r="F595" s="195"/>
      <c r="G595" s="195"/>
      <c r="H595" s="195"/>
      <c r="I595" s="195"/>
      <c r="J595" s="195"/>
      <c r="K595" s="195"/>
      <c r="L595" s="195"/>
      <c r="M595" s="195"/>
      <c r="N595" s="195"/>
      <c r="O595" s="195"/>
      <c r="P595" s="195"/>
      <c r="Q595" s="195"/>
      <c r="R595" s="195"/>
      <c r="S595" s="195"/>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c r="AQ595" s="195"/>
      <c r="AR595" s="195"/>
      <c r="AS595" s="151"/>
    </row>
    <row r="596" spans="5:45" ht="16.5" customHeight="1">
      <c r="E596" s="195"/>
      <c r="F596" s="195"/>
      <c r="G596" s="195"/>
      <c r="H596" s="195"/>
      <c r="I596" s="195"/>
      <c r="J596" s="195"/>
      <c r="K596" s="195"/>
      <c r="L596" s="195"/>
      <c r="M596" s="195"/>
      <c r="N596" s="195"/>
      <c r="O596" s="195"/>
      <c r="P596" s="195"/>
      <c r="Q596" s="195"/>
      <c r="R596" s="195"/>
      <c r="S596" s="195"/>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c r="AQ596" s="195"/>
      <c r="AR596" s="195"/>
      <c r="AS596" s="151"/>
    </row>
    <row r="597" spans="5:45" ht="16.5" customHeight="1">
      <c r="E597" s="195"/>
      <c r="F597" s="195"/>
      <c r="G597" s="195"/>
      <c r="H597" s="195"/>
      <c r="I597" s="195"/>
      <c r="J597" s="195"/>
      <c r="K597" s="195"/>
      <c r="L597" s="195"/>
      <c r="M597" s="195"/>
      <c r="N597" s="195"/>
      <c r="O597" s="195"/>
      <c r="P597" s="195"/>
      <c r="Q597" s="195"/>
      <c r="R597" s="195"/>
      <c r="S597" s="195"/>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c r="AQ597" s="195"/>
      <c r="AR597" s="195"/>
      <c r="AS597" s="151"/>
    </row>
    <row r="598" spans="5:45" ht="16.5" customHeight="1">
      <c r="E598" s="195"/>
      <c r="F598" s="195"/>
      <c r="G598" s="195"/>
      <c r="H598" s="195"/>
      <c r="I598" s="195"/>
      <c r="J598" s="195"/>
      <c r="K598" s="195"/>
      <c r="L598" s="195"/>
      <c r="M598" s="195"/>
      <c r="N598" s="195"/>
      <c r="O598" s="195"/>
      <c r="P598" s="195"/>
      <c r="Q598" s="195"/>
      <c r="R598" s="195"/>
      <c r="S598" s="195"/>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c r="AQ598" s="195"/>
      <c r="AR598" s="195"/>
      <c r="AS598" s="151"/>
    </row>
    <row r="599" spans="5:45" ht="16.5" customHeight="1">
      <c r="E599" s="195"/>
      <c r="F599" s="195"/>
      <c r="G599" s="195"/>
      <c r="H599" s="195"/>
      <c r="I599" s="195"/>
      <c r="J599" s="195"/>
      <c r="K599" s="195"/>
      <c r="L599" s="195"/>
      <c r="M599" s="195"/>
      <c r="N599" s="195"/>
      <c r="O599" s="195"/>
      <c r="P599" s="195"/>
      <c r="Q599" s="195"/>
      <c r="R599" s="195"/>
      <c r="S599" s="195"/>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c r="AQ599" s="195"/>
      <c r="AR599" s="195"/>
      <c r="AS599" s="151"/>
    </row>
    <row r="600" spans="5:45" ht="16.5" customHeight="1">
      <c r="E600" s="195"/>
      <c r="F600" s="195"/>
      <c r="G600" s="195"/>
      <c r="H600" s="195"/>
      <c r="I600" s="195"/>
      <c r="J600" s="195"/>
      <c r="K600" s="195"/>
      <c r="L600" s="195"/>
      <c r="M600" s="195"/>
      <c r="N600" s="195"/>
      <c r="O600" s="195"/>
      <c r="P600" s="195"/>
      <c r="Q600" s="195"/>
      <c r="R600" s="195"/>
      <c r="S600" s="195"/>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c r="AQ600" s="195"/>
      <c r="AR600" s="195"/>
      <c r="AS600" s="151"/>
    </row>
    <row r="601" spans="5:45" ht="16.5" customHeight="1">
      <c r="E601" s="195"/>
      <c r="F601" s="195"/>
      <c r="G601" s="195"/>
      <c r="H601" s="195"/>
      <c r="I601" s="195"/>
      <c r="J601" s="195"/>
      <c r="K601" s="195"/>
      <c r="L601" s="195"/>
      <c r="M601" s="195"/>
      <c r="N601" s="195"/>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c r="AQ601" s="195"/>
      <c r="AR601" s="195"/>
      <c r="AS601" s="151"/>
    </row>
    <row r="602" spans="5:45" ht="16.5" customHeight="1">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c r="AQ602" s="195"/>
      <c r="AR602" s="195"/>
      <c r="AS602" s="151"/>
    </row>
    <row r="603" spans="5:45" ht="16.5" customHeight="1">
      <c r="E603" s="195"/>
      <c r="F603" s="195"/>
      <c r="G603" s="195"/>
      <c r="H603" s="195"/>
      <c r="I603" s="195"/>
      <c r="J603" s="195"/>
      <c r="K603" s="195"/>
      <c r="L603" s="195"/>
      <c r="M603" s="195"/>
      <c r="N603" s="195"/>
      <c r="O603" s="195"/>
      <c r="P603" s="195"/>
      <c r="Q603" s="195"/>
      <c r="R603" s="195"/>
      <c r="S603" s="195"/>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c r="AQ603" s="195"/>
      <c r="AR603" s="195"/>
      <c r="AS603" s="151"/>
    </row>
    <row r="604" spans="5:45" ht="16.5" customHeight="1">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c r="AQ604" s="195"/>
      <c r="AR604" s="195"/>
      <c r="AS604" s="151"/>
    </row>
    <row r="605" spans="5:45" ht="16.5" customHeight="1">
      <c r="E605" s="195"/>
      <c r="F605" s="195"/>
      <c r="G605" s="195"/>
      <c r="H605" s="195"/>
      <c r="I605" s="195"/>
      <c r="J605" s="195"/>
      <c r="K605" s="195"/>
      <c r="L605" s="195"/>
      <c r="M605" s="195"/>
      <c r="N605" s="195"/>
      <c r="O605" s="195"/>
      <c r="P605" s="195"/>
      <c r="Q605" s="195"/>
      <c r="R605" s="195"/>
      <c r="S605" s="195"/>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c r="AQ605" s="195"/>
      <c r="AR605" s="195"/>
      <c r="AS605" s="151"/>
    </row>
    <row r="606" spans="5:45" ht="16.5" customHeight="1">
      <c r="E606" s="195"/>
      <c r="F606" s="195"/>
      <c r="G606" s="195"/>
      <c r="H606" s="195"/>
      <c r="I606" s="195"/>
      <c r="J606" s="195"/>
      <c r="K606" s="195"/>
      <c r="L606" s="195"/>
      <c r="M606" s="195"/>
      <c r="N606" s="195"/>
      <c r="O606" s="195"/>
      <c r="P606" s="195"/>
      <c r="Q606" s="195"/>
      <c r="R606" s="195"/>
      <c r="S606" s="195"/>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c r="AQ606" s="195"/>
      <c r="AR606" s="195"/>
      <c r="AS606" s="151"/>
    </row>
    <row r="607" spans="5:45" ht="16.5" customHeight="1">
      <c r="E607" s="195"/>
      <c r="F607" s="195"/>
      <c r="G607" s="195"/>
      <c r="H607" s="195"/>
      <c r="I607" s="195"/>
      <c r="J607" s="195"/>
      <c r="K607" s="195"/>
      <c r="L607" s="195"/>
      <c r="M607" s="195"/>
      <c r="N607" s="195"/>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c r="AQ607" s="195"/>
      <c r="AR607" s="195"/>
      <c r="AS607" s="151"/>
    </row>
    <row r="608" spans="5:45" ht="16.5" customHeight="1">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c r="AQ608" s="195"/>
      <c r="AR608" s="195"/>
      <c r="AS608" s="151"/>
    </row>
    <row r="609" spans="5:45" ht="16.5" customHeight="1">
      <c r="E609" s="195"/>
      <c r="F609" s="195"/>
      <c r="G609" s="195"/>
      <c r="H609" s="195"/>
      <c r="I609" s="195"/>
      <c r="J609" s="195"/>
      <c r="K609" s="195"/>
      <c r="L609" s="195"/>
      <c r="M609" s="195"/>
      <c r="N609" s="195"/>
      <c r="O609" s="195"/>
      <c r="P609" s="195"/>
      <c r="Q609" s="195"/>
      <c r="R609" s="195"/>
      <c r="S609" s="195"/>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c r="AQ609" s="195"/>
      <c r="AR609" s="195"/>
      <c r="AS609" s="151"/>
    </row>
    <row r="610" spans="5:45" ht="16.5" customHeight="1">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c r="AQ610" s="195"/>
      <c r="AR610" s="195"/>
      <c r="AS610" s="151"/>
    </row>
    <row r="611" spans="5:45" ht="16.5" customHeight="1">
      <c r="E611" s="195"/>
      <c r="F611" s="195"/>
      <c r="G611" s="195"/>
      <c r="H611" s="195"/>
      <c r="I611" s="195"/>
      <c r="J611" s="195"/>
      <c r="K611" s="195"/>
      <c r="L611" s="195"/>
      <c r="M611" s="195"/>
      <c r="N611" s="195"/>
      <c r="O611" s="195"/>
      <c r="P611" s="195"/>
      <c r="Q611" s="195"/>
      <c r="R611" s="195"/>
      <c r="S611" s="195"/>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c r="AQ611" s="195"/>
      <c r="AR611" s="195"/>
      <c r="AS611" s="151"/>
    </row>
    <row r="612" spans="5:45" ht="16.5" customHeight="1">
      <c r="E612" s="195"/>
      <c r="F612" s="195"/>
      <c r="G612" s="195"/>
      <c r="H612" s="195"/>
      <c r="I612" s="195"/>
      <c r="J612" s="195"/>
      <c r="K612" s="195"/>
      <c r="L612" s="195"/>
      <c r="M612" s="195"/>
      <c r="N612" s="195"/>
      <c r="O612" s="195"/>
      <c r="P612" s="195"/>
      <c r="Q612" s="195"/>
      <c r="R612" s="195"/>
      <c r="S612" s="195"/>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c r="AQ612" s="195"/>
      <c r="AR612" s="195"/>
      <c r="AS612" s="151"/>
    </row>
    <row r="613" spans="5:45" ht="16.5" customHeight="1">
      <c r="E613" s="195"/>
      <c r="F613" s="195"/>
      <c r="G613" s="195"/>
      <c r="H613" s="195"/>
      <c r="I613" s="195"/>
      <c r="J613" s="195"/>
      <c r="K613" s="195"/>
      <c r="L613" s="195"/>
      <c r="M613" s="195"/>
      <c r="N613" s="195"/>
      <c r="O613" s="195"/>
      <c r="P613" s="195"/>
      <c r="Q613" s="195"/>
      <c r="R613" s="195"/>
      <c r="S613" s="195"/>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c r="AQ613" s="195"/>
      <c r="AR613" s="195"/>
      <c r="AS613" s="151"/>
    </row>
    <row r="614" spans="5:45" ht="16.5" customHeight="1">
      <c r="E614" s="195"/>
      <c r="F614" s="195"/>
      <c r="G614" s="195"/>
      <c r="H614" s="195"/>
      <c r="I614" s="195"/>
      <c r="J614" s="195"/>
      <c r="K614" s="195"/>
      <c r="L614" s="195"/>
      <c r="M614" s="195"/>
      <c r="N614" s="195"/>
      <c r="O614" s="195"/>
      <c r="P614" s="195"/>
      <c r="Q614" s="195"/>
      <c r="R614" s="195"/>
      <c r="S614" s="195"/>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c r="AQ614" s="195"/>
      <c r="AR614" s="195"/>
      <c r="AS614" s="151"/>
    </row>
    <row r="615" spans="5:45" ht="16.5" customHeight="1">
      <c r="E615" s="195"/>
      <c r="F615" s="195"/>
      <c r="G615" s="195"/>
      <c r="H615" s="195"/>
      <c r="I615" s="195"/>
      <c r="J615" s="195"/>
      <c r="K615" s="195"/>
      <c r="L615" s="195"/>
      <c r="M615" s="195"/>
      <c r="N615" s="195"/>
      <c r="O615" s="195"/>
      <c r="P615" s="195"/>
      <c r="Q615" s="195"/>
      <c r="R615" s="195"/>
      <c r="S615" s="195"/>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c r="AQ615" s="195"/>
      <c r="AR615" s="195"/>
      <c r="AS615" s="151"/>
    </row>
    <row r="616" spans="5:45" ht="16.5" customHeight="1">
      <c r="E616" s="195"/>
      <c r="F616" s="195"/>
      <c r="G616" s="195"/>
      <c r="H616" s="195"/>
      <c r="I616" s="195"/>
      <c r="J616" s="195"/>
      <c r="K616" s="195"/>
      <c r="L616" s="195"/>
      <c r="M616" s="195"/>
      <c r="N616" s="195"/>
      <c r="O616" s="195"/>
      <c r="P616" s="195"/>
      <c r="Q616" s="195"/>
      <c r="R616" s="195"/>
      <c r="S616" s="195"/>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c r="AQ616" s="195"/>
      <c r="AR616" s="195"/>
      <c r="AS616" s="151"/>
    </row>
    <row r="617" spans="5:45" ht="16.5" customHeight="1">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c r="AQ617" s="195"/>
      <c r="AR617" s="195"/>
      <c r="AS617" s="151"/>
    </row>
    <row r="618" spans="5:45" ht="16.5" customHeight="1">
      <c r="E618" s="195"/>
      <c r="F618" s="195"/>
      <c r="G618" s="195"/>
      <c r="H618" s="195"/>
      <c r="I618" s="195"/>
      <c r="J618" s="195"/>
      <c r="K618" s="195"/>
      <c r="L618" s="195"/>
      <c r="M618" s="195"/>
      <c r="N618" s="195"/>
      <c r="O618" s="195"/>
      <c r="P618" s="195"/>
      <c r="Q618" s="195"/>
      <c r="R618" s="195"/>
      <c r="S618" s="195"/>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c r="AQ618" s="195"/>
      <c r="AR618" s="195"/>
      <c r="AS618" s="151"/>
    </row>
    <row r="619" spans="5:45" ht="16.5" customHeight="1">
      <c r="E619" s="195"/>
      <c r="F619" s="195"/>
      <c r="G619" s="195"/>
      <c r="H619" s="195"/>
      <c r="I619" s="195"/>
      <c r="J619" s="195"/>
      <c r="K619" s="195"/>
      <c r="L619" s="195"/>
      <c r="M619" s="195"/>
      <c r="N619" s="195"/>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c r="AQ619" s="195"/>
      <c r="AR619" s="195"/>
      <c r="AS619" s="151"/>
    </row>
    <row r="620" spans="5:45" ht="16.5" customHeight="1">
      <c r="E620" s="195"/>
      <c r="F620" s="195"/>
      <c r="G620" s="195"/>
      <c r="H620" s="195"/>
      <c r="I620" s="195"/>
      <c r="J620" s="195"/>
      <c r="K620" s="195"/>
      <c r="L620" s="195"/>
      <c r="M620" s="195"/>
      <c r="N620" s="195"/>
      <c r="O620" s="195"/>
      <c r="P620" s="195"/>
      <c r="Q620" s="195"/>
      <c r="R620" s="195"/>
      <c r="S620" s="195"/>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c r="AQ620" s="195"/>
      <c r="AR620" s="195"/>
      <c r="AS620" s="151"/>
    </row>
    <row r="621" spans="5:45" ht="16.5" customHeight="1">
      <c r="E621" s="195"/>
      <c r="F621" s="195"/>
      <c r="G621" s="195"/>
      <c r="H621" s="195"/>
      <c r="I621" s="195"/>
      <c r="J621" s="195"/>
      <c r="K621" s="195"/>
      <c r="L621" s="195"/>
      <c r="M621" s="195"/>
      <c r="N621" s="195"/>
      <c r="O621" s="195"/>
      <c r="P621" s="195"/>
      <c r="Q621" s="195"/>
      <c r="R621" s="195"/>
      <c r="S621" s="195"/>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c r="AQ621" s="195"/>
      <c r="AR621" s="195"/>
      <c r="AS621" s="151"/>
    </row>
    <row r="622" spans="5:45" ht="16.5" customHeight="1">
      <c r="E622" s="195"/>
      <c r="F622" s="195"/>
      <c r="G622" s="195"/>
      <c r="H622" s="195"/>
      <c r="I622" s="195"/>
      <c r="J622" s="195"/>
      <c r="K622" s="195"/>
      <c r="L622" s="195"/>
      <c r="M622" s="195"/>
      <c r="N622" s="195"/>
      <c r="O622" s="195"/>
      <c r="P622" s="195"/>
      <c r="Q622" s="195"/>
      <c r="R622" s="195"/>
      <c r="S622" s="195"/>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c r="AQ622" s="195"/>
      <c r="AR622" s="195"/>
      <c r="AS622" s="151"/>
    </row>
    <row r="623" spans="5:45" ht="16.5" customHeight="1">
      <c r="E623" s="195"/>
      <c r="F623" s="195"/>
      <c r="G623" s="195"/>
      <c r="H623" s="195"/>
      <c r="I623" s="195"/>
      <c r="J623" s="195"/>
      <c r="K623" s="195"/>
      <c r="L623" s="195"/>
      <c r="M623" s="195"/>
      <c r="N623" s="195"/>
      <c r="O623" s="195"/>
      <c r="P623" s="195"/>
      <c r="Q623" s="195"/>
      <c r="R623" s="195"/>
      <c r="S623" s="195"/>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c r="AQ623" s="195"/>
      <c r="AR623" s="195"/>
      <c r="AS623" s="151"/>
    </row>
    <row r="624" spans="5:45" ht="16.5" customHeight="1">
      <c r="E624" s="195"/>
      <c r="F624" s="195"/>
      <c r="G624" s="195"/>
      <c r="H624" s="195"/>
      <c r="I624" s="195"/>
      <c r="J624" s="195"/>
      <c r="K624" s="195"/>
      <c r="L624" s="195"/>
      <c r="M624" s="195"/>
      <c r="N624" s="195"/>
      <c r="O624" s="195"/>
      <c r="P624" s="195"/>
      <c r="Q624" s="195"/>
      <c r="R624" s="195"/>
      <c r="S624" s="195"/>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c r="AQ624" s="195"/>
      <c r="AR624" s="195"/>
      <c r="AS624" s="151"/>
    </row>
    <row r="625" spans="5:45" ht="16.5" customHeight="1">
      <c r="E625" s="195"/>
      <c r="F625" s="195"/>
      <c r="G625" s="195"/>
      <c r="H625" s="195"/>
      <c r="I625" s="195"/>
      <c r="J625" s="195"/>
      <c r="K625" s="195"/>
      <c r="L625" s="195"/>
      <c r="M625" s="195"/>
      <c r="N625" s="195"/>
      <c r="O625" s="195"/>
      <c r="P625" s="195"/>
      <c r="Q625" s="195"/>
      <c r="R625" s="195"/>
      <c r="S625" s="195"/>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c r="AQ625" s="195"/>
      <c r="AR625" s="195"/>
      <c r="AS625" s="151"/>
    </row>
    <row r="626" spans="5:45" ht="16.5" customHeight="1">
      <c r="E626" s="195"/>
      <c r="F626" s="195"/>
      <c r="G626" s="195"/>
      <c r="H626" s="195"/>
      <c r="I626" s="195"/>
      <c r="J626" s="195"/>
      <c r="K626" s="195"/>
      <c r="L626" s="195"/>
      <c r="M626" s="195"/>
      <c r="N626" s="195"/>
      <c r="O626" s="195"/>
      <c r="P626" s="195"/>
      <c r="Q626" s="195"/>
      <c r="R626" s="195"/>
      <c r="S626" s="195"/>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c r="AQ626" s="195"/>
      <c r="AR626" s="195"/>
      <c r="AS626" s="151"/>
    </row>
    <row r="627" spans="5:45" ht="16.5" customHeight="1">
      <c r="E627" s="195"/>
      <c r="F627" s="195"/>
      <c r="G627" s="195"/>
      <c r="H627" s="195"/>
      <c r="I627" s="195"/>
      <c r="J627" s="195"/>
      <c r="K627" s="195"/>
      <c r="L627" s="195"/>
      <c r="M627" s="195"/>
      <c r="N627" s="195"/>
      <c r="O627" s="195"/>
      <c r="P627" s="195"/>
      <c r="Q627" s="195"/>
      <c r="R627" s="195"/>
      <c r="S627" s="195"/>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c r="AQ627" s="195"/>
      <c r="AR627" s="195"/>
      <c r="AS627" s="151"/>
    </row>
    <row r="628" spans="5:45" ht="16.5" customHeight="1">
      <c r="E628" s="195"/>
      <c r="F628" s="195"/>
      <c r="G628" s="195"/>
      <c r="H628" s="195"/>
      <c r="I628" s="195"/>
      <c r="J628" s="195"/>
      <c r="K628" s="195"/>
      <c r="L628" s="195"/>
      <c r="M628" s="195"/>
      <c r="N628" s="195"/>
      <c r="O628" s="195"/>
      <c r="P628" s="195"/>
      <c r="Q628" s="195"/>
      <c r="R628" s="195"/>
      <c r="S628" s="195"/>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c r="AQ628" s="195"/>
      <c r="AR628" s="195"/>
      <c r="AS628" s="151"/>
    </row>
    <row r="629" spans="5:45" ht="16.5" customHeight="1">
      <c r="E629" s="195"/>
      <c r="F629" s="195"/>
      <c r="G629" s="195"/>
      <c r="H629" s="195"/>
      <c r="I629" s="195"/>
      <c r="J629" s="195"/>
      <c r="K629" s="195"/>
      <c r="L629" s="195"/>
      <c r="M629" s="195"/>
      <c r="N629" s="195"/>
      <c r="O629" s="195"/>
      <c r="P629" s="195"/>
      <c r="Q629" s="195"/>
      <c r="R629" s="195"/>
      <c r="S629" s="195"/>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c r="AQ629" s="195"/>
      <c r="AR629" s="195"/>
      <c r="AS629" s="151"/>
    </row>
    <row r="630" spans="5:45" ht="16.5" customHeight="1">
      <c r="E630" s="195"/>
      <c r="F630" s="195"/>
      <c r="G630" s="195"/>
      <c r="H630" s="195"/>
      <c r="I630" s="195"/>
      <c r="J630" s="195"/>
      <c r="K630" s="195"/>
      <c r="L630" s="195"/>
      <c r="M630" s="195"/>
      <c r="N630" s="195"/>
      <c r="O630" s="195"/>
      <c r="P630" s="195"/>
      <c r="Q630" s="195"/>
      <c r="R630" s="195"/>
      <c r="S630" s="195"/>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c r="AQ630" s="195"/>
      <c r="AR630" s="195"/>
      <c r="AS630" s="151"/>
    </row>
    <row r="631" spans="5:45" ht="16.5" customHeight="1">
      <c r="E631" s="195"/>
      <c r="F631" s="195"/>
      <c r="G631" s="195"/>
      <c r="H631" s="195"/>
      <c r="I631" s="195"/>
      <c r="J631" s="195"/>
      <c r="K631" s="195"/>
      <c r="L631" s="195"/>
      <c r="M631" s="195"/>
      <c r="N631" s="195"/>
      <c r="O631" s="195"/>
      <c r="P631" s="195"/>
      <c r="Q631" s="195"/>
      <c r="R631" s="195"/>
      <c r="S631" s="195"/>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c r="AQ631" s="195"/>
      <c r="AR631" s="195"/>
      <c r="AS631" s="151"/>
    </row>
    <row r="632" spans="5:45" ht="16.5" customHeight="1">
      <c r="E632" s="195"/>
      <c r="F632" s="195"/>
      <c r="G632" s="195"/>
      <c r="H632" s="195"/>
      <c r="I632" s="195"/>
      <c r="J632" s="195"/>
      <c r="K632" s="195"/>
      <c r="L632" s="195"/>
      <c r="M632" s="195"/>
      <c r="N632" s="195"/>
      <c r="O632" s="195"/>
      <c r="P632" s="195"/>
      <c r="Q632" s="195"/>
      <c r="R632" s="195"/>
      <c r="S632" s="195"/>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c r="AQ632" s="195"/>
      <c r="AR632" s="195"/>
      <c r="AS632" s="151"/>
    </row>
    <row r="633" spans="5:45" ht="16.5" customHeight="1">
      <c r="E633" s="195"/>
      <c r="F633" s="195"/>
      <c r="G633" s="195"/>
      <c r="H633" s="195"/>
      <c r="I633" s="195"/>
      <c r="J633" s="195"/>
      <c r="K633" s="195"/>
      <c r="L633" s="195"/>
      <c r="M633" s="195"/>
      <c r="N633" s="195"/>
      <c r="O633" s="195"/>
      <c r="P633" s="195"/>
      <c r="Q633" s="195"/>
      <c r="R633" s="195"/>
      <c r="S633" s="195"/>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c r="AQ633" s="195"/>
      <c r="AR633" s="195"/>
      <c r="AS633" s="151"/>
    </row>
    <row r="634" spans="5:45" ht="16.5" customHeight="1">
      <c r="E634" s="195"/>
      <c r="F634" s="195"/>
      <c r="G634" s="195"/>
      <c r="H634" s="195"/>
      <c r="I634" s="195"/>
      <c r="J634" s="195"/>
      <c r="K634" s="195"/>
      <c r="L634" s="195"/>
      <c r="M634" s="195"/>
      <c r="N634" s="195"/>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c r="AQ634" s="195"/>
      <c r="AR634" s="195"/>
      <c r="AS634" s="151"/>
    </row>
    <row r="635" spans="5:45" ht="16.5" customHeight="1">
      <c r="E635" s="195"/>
      <c r="F635" s="195"/>
      <c r="G635" s="195"/>
      <c r="H635" s="195"/>
      <c r="I635" s="195"/>
      <c r="J635" s="195"/>
      <c r="K635" s="195"/>
      <c r="L635" s="195"/>
      <c r="M635" s="195"/>
      <c r="N635" s="195"/>
      <c r="O635" s="195"/>
      <c r="P635" s="195"/>
      <c r="Q635" s="195"/>
      <c r="R635" s="195"/>
      <c r="S635" s="195"/>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c r="AQ635" s="195"/>
      <c r="AR635" s="195"/>
      <c r="AS635" s="151"/>
    </row>
    <row r="636" spans="5:45" ht="16.5" customHeight="1">
      <c r="E636" s="195"/>
      <c r="F636" s="195"/>
      <c r="G636" s="195"/>
      <c r="H636" s="195"/>
      <c r="I636" s="195"/>
      <c r="J636" s="195"/>
      <c r="K636" s="195"/>
      <c r="L636" s="195"/>
      <c r="M636" s="195"/>
      <c r="N636" s="195"/>
      <c r="O636" s="195"/>
      <c r="P636" s="195"/>
      <c r="Q636" s="195"/>
      <c r="R636" s="195"/>
      <c r="S636" s="195"/>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c r="AQ636" s="195"/>
      <c r="AR636" s="195"/>
      <c r="AS636" s="151"/>
    </row>
    <row r="637" spans="5:45" ht="16.5" customHeight="1">
      <c r="E637" s="195"/>
      <c r="F637" s="195"/>
      <c r="G637" s="195"/>
      <c r="H637" s="195"/>
      <c r="I637" s="195"/>
      <c r="J637" s="195"/>
      <c r="K637" s="195"/>
      <c r="L637" s="195"/>
      <c r="M637" s="195"/>
      <c r="N637" s="195"/>
      <c r="O637" s="195"/>
      <c r="P637" s="195"/>
      <c r="Q637" s="195"/>
      <c r="R637" s="195"/>
      <c r="S637" s="195"/>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c r="AQ637" s="195"/>
      <c r="AR637" s="195"/>
      <c r="AS637" s="151"/>
    </row>
    <row r="638" spans="5:45" ht="16.5" customHeight="1">
      <c r="E638" s="195"/>
      <c r="F638" s="195"/>
      <c r="G638" s="195"/>
      <c r="H638" s="195"/>
      <c r="I638" s="195"/>
      <c r="J638" s="195"/>
      <c r="K638" s="195"/>
      <c r="L638" s="195"/>
      <c r="M638" s="195"/>
      <c r="N638" s="195"/>
      <c r="O638" s="195"/>
      <c r="P638" s="195"/>
      <c r="Q638" s="195"/>
      <c r="R638" s="195"/>
      <c r="S638" s="195"/>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c r="AQ638" s="195"/>
      <c r="AR638" s="195"/>
      <c r="AS638" s="151"/>
    </row>
    <row r="639" spans="5:45" ht="16.5" customHeight="1">
      <c r="E639" s="195"/>
      <c r="F639" s="195"/>
      <c r="G639" s="195"/>
      <c r="H639" s="195"/>
      <c r="I639" s="195"/>
      <c r="J639" s="195"/>
      <c r="K639" s="195"/>
      <c r="L639" s="195"/>
      <c r="M639" s="195"/>
      <c r="N639" s="195"/>
      <c r="O639" s="195"/>
      <c r="P639" s="195"/>
      <c r="Q639" s="195"/>
      <c r="R639" s="195"/>
      <c r="S639" s="195"/>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c r="AQ639" s="195"/>
      <c r="AR639" s="195"/>
      <c r="AS639" s="151"/>
    </row>
    <row r="640" spans="5:45" ht="16.5" customHeight="1">
      <c r="E640" s="195"/>
      <c r="F640" s="195"/>
      <c r="G640" s="195"/>
      <c r="H640" s="195"/>
      <c r="I640" s="195"/>
      <c r="J640" s="195"/>
      <c r="K640" s="195"/>
      <c r="L640" s="195"/>
      <c r="M640" s="195"/>
      <c r="N640" s="195"/>
      <c r="O640" s="195"/>
      <c r="P640" s="195"/>
      <c r="Q640" s="195"/>
      <c r="R640" s="195"/>
      <c r="S640" s="195"/>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c r="AQ640" s="195"/>
      <c r="AR640" s="195"/>
      <c r="AS640" s="151"/>
    </row>
    <row r="641" spans="5:45" ht="16.5" customHeight="1">
      <c r="E641" s="195"/>
      <c r="F641" s="195"/>
      <c r="G641" s="195"/>
      <c r="H641" s="195"/>
      <c r="I641" s="195"/>
      <c r="J641" s="195"/>
      <c r="K641" s="195"/>
      <c r="L641" s="195"/>
      <c r="M641" s="195"/>
      <c r="N641" s="195"/>
      <c r="O641" s="195"/>
      <c r="P641" s="195"/>
      <c r="Q641" s="195"/>
      <c r="R641" s="195"/>
      <c r="S641" s="195"/>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c r="AQ641" s="195"/>
      <c r="AR641" s="195"/>
      <c r="AS641" s="151"/>
    </row>
    <row r="642" spans="5:45" ht="16.5" customHeight="1">
      <c r="E642" s="195"/>
      <c r="F642" s="195"/>
      <c r="G642" s="195"/>
      <c r="H642" s="195"/>
      <c r="I642" s="195"/>
      <c r="J642" s="195"/>
      <c r="K642" s="195"/>
      <c r="L642" s="195"/>
      <c r="M642" s="195"/>
      <c r="N642" s="195"/>
      <c r="O642" s="195"/>
      <c r="P642" s="195"/>
      <c r="Q642" s="195"/>
      <c r="R642" s="195"/>
      <c r="S642" s="195"/>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c r="AQ642" s="195"/>
      <c r="AR642" s="195"/>
      <c r="AS642" s="151"/>
    </row>
    <row r="643" spans="5:45" ht="16.5" customHeight="1">
      <c r="E643" s="195"/>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51"/>
    </row>
    <row r="644" spans="5:45" ht="16.5" customHeight="1">
      <c r="E644" s="195"/>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51"/>
    </row>
    <row r="645" spans="5:45" ht="16.5" customHeight="1">
      <c r="E645" s="195"/>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51"/>
    </row>
    <row r="646" spans="5:45" ht="16.5" customHeight="1">
      <c r="E646" s="195"/>
      <c r="F646" s="195"/>
      <c r="G646" s="195"/>
      <c r="H646" s="195"/>
      <c r="I646" s="195"/>
      <c r="J646" s="195"/>
      <c r="K646" s="195"/>
      <c r="L646" s="195"/>
      <c r="M646" s="195"/>
      <c r="N646" s="195"/>
      <c r="O646" s="195"/>
      <c r="P646" s="195"/>
      <c r="Q646" s="195"/>
      <c r="R646" s="195"/>
      <c r="S646" s="195"/>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c r="AQ646" s="195"/>
      <c r="AR646" s="195"/>
      <c r="AS646" s="151"/>
    </row>
    <row r="647" spans="5:45" ht="16.5" customHeight="1">
      <c r="E647" s="195"/>
      <c r="F647" s="195"/>
      <c r="G647" s="195"/>
      <c r="H647" s="195"/>
      <c r="I647" s="195"/>
      <c r="J647" s="195"/>
      <c r="K647" s="195"/>
      <c r="L647" s="195"/>
      <c r="M647" s="195"/>
      <c r="N647" s="195"/>
      <c r="O647" s="195"/>
      <c r="P647" s="195"/>
      <c r="Q647" s="195"/>
      <c r="R647" s="195"/>
      <c r="S647" s="195"/>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c r="AQ647" s="195"/>
      <c r="AR647" s="195"/>
      <c r="AS647" s="151"/>
    </row>
    <row r="648" spans="5:45" ht="16.5" customHeight="1">
      <c r="E648" s="195"/>
      <c r="F648" s="195"/>
      <c r="G648" s="195"/>
      <c r="H648" s="195"/>
      <c r="I648" s="195"/>
      <c r="J648" s="195"/>
      <c r="K648" s="195"/>
      <c r="L648" s="195"/>
      <c r="M648" s="195"/>
      <c r="N648" s="195"/>
      <c r="O648" s="195"/>
      <c r="P648" s="195"/>
      <c r="Q648" s="195"/>
      <c r="R648" s="195"/>
      <c r="S648" s="195"/>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c r="AQ648" s="195"/>
      <c r="AR648" s="195"/>
      <c r="AS648" s="151"/>
    </row>
    <row r="649" spans="5:45" ht="16.5" customHeight="1">
      <c r="E649" s="195"/>
      <c r="F649" s="195"/>
      <c r="G649" s="195"/>
      <c r="H649" s="195"/>
      <c r="I649" s="195"/>
      <c r="J649" s="195"/>
      <c r="K649" s="195"/>
      <c r="L649" s="195"/>
      <c r="M649" s="195"/>
      <c r="N649" s="195"/>
      <c r="O649" s="195"/>
      <c r="P649" s="195"/>
      <c r="Q649" s="195"/>
      <c r="R649" s="195"/>
      <c r="S649" s="195"/>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c r="AQ649" s="195"/>
      <c r="AR649" s="195"/>
      <c r="AS649" s="151"/>
    </row>
    <row r="650" spans="5:45" ht="16.5" customHeight="1">
      <c r="E650" s="195"/>
      <c r="F650" s="195"/>
      <c r="G650" s="195"/>
      <c r="H650" s="195"/>
      <c r="I650" s="195"/>
      <c r="J650" s="195"/>
      <c r="K650" s="195"/>
      <c r="L650" s="195"/>
      <c r="M650" s="195"/>
      <c r="N650" s="195"/>
      <c r="O650" s="195"/>
      <c r="P650" s="195"/>
      <c r="Q650" s="195"/>
      <c r="R650" s="195"/>
      <c r="S650" s="195"/>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c r="AQ650" s="195"/>
      <c r="AR650" s="195"/>
      <c r="AS650" s="151"/>
    </row>
    <row r="651" spans="5:45" ht="16.5" customHeight="1">
      <c r="E651" s="195"/>
      <c r="F651" s="195"/>
      <c r="G651" s="195"/>
      <c r="H651" s="195"/>
      <c r="I651" s="195"/>
      <c r="J651" s="195"/>
      <c r="K651" s="195"/>
      <c r="L651" s="195"/>
      <c r="M651" s="195"/>
      <c r="N651" s="195"/>
      <c r="O651" s="195"/>
      <c r="P651" s="195"/>
      <c r="Q651" s="195"/>
      <c r="R651" s="195"/>
      <c r="S651" s="195"/>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c r="AQ651" s="195"/>
      <c r="AR651" s="195"/>
      <c r="AS651" s="151"/>
    </row>
    <row r="652" spans="5:45" ht="16.5" customHeight="1">
      <c r="E652" s="195"/>
      <c r="F652" s="195"/>
      <c r="G652" s="195"/>
      <c r="H652" s="195"/>
      <c r="I652" s="195"/>
      <c r="J652" s="195"/>
      <c r="K652" s="195"/>
      <c r="L652" s="195"/>
      <c r="M652" s="195"/>
      <c r="N652" s="195"/>
      <c r="O652" s="195"/>
      <c r="P652" s="195"/>
      <c r="Q652" s="195"/>
      <c r="R652" s="195"/>
      <c r="S652" s="195"/>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c r="AQ652" s="195"/>
      <c r="AR652" s="195"/>
      <c r="AS652" s="151"/>
    </row>
    <row r="653" spans="5:45" ht="16.5" customHeight="1">
      <c r="E653" s="195"/>
      <c r="F653" s="195"/>
      <c r="G653" s="195"/>
      <c r="H653" s="195"/>
      <c r="I653" s="195"/>
      <c r="J653" s="195"/>
      <c r="K653" s="195"/>
      <c r="L653" s="195"/>
      <c r="M653" s="195"/>
      <c r="N653" s="195"/>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c r="AQ653" s="195"/>
      <c r="AR653" s="195"/>
      <c r="AS653" s="151"/>
    </row>
    <row r="654" spans="5:45" ht="16.5" customHeight="1">
      <c r="E654" s="195"/>
      <c r="F654" s="195"/>
      <c r="G654" s="195"/>
      <c r="H654" s="195"/>
      <c r="I654" s="195"/>
      <c r="J654" s="195"/>
      <c r="K654" s="195"/>
      <c r="L654" s="195"/>
      <c r="M654" s="195"/>
      <c r="N654" s="195"/>
      <c r="O654" s="195"/>
      <c r="P654" s="195"/>
      <c r="Q654" s="195"/>
      <c r="R654" s="195"/>
      <c r="S654" s="195"/>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c r="AQ654" s="195"/>
      <c r="AR654" s="195"/>
      <c r="AS654" s="151"/>
    </row>
    <row r="655" spans="5:45" ht="16.5" customHeight="1">
      <c r="E655" s="195"/>
      <c r="F655" s="195"/>
      <c r="G655" s="195"/>
      <c r="H655" s="195"/>
      <c r="I655" s="195"/>
      <c r="J655" s="195"/>
      <c r="K655" s="195"/>
      <c r="L655" s="195"/>
      <c r="M655" s="195"/>
      <c r="N655" s="195"/>
      <c r="O655" s="195"/>
      <c r="P655" s="195"/>
      <c r="Q655" s="195"/>
      <c r="R655" s="195"/>
      <c r="S655" s="195"/>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c r="AQ655" s="195"/>
      <c r="AR655" s="195"/>
      <c r="AS655" s="151"/>
    </row>
    <row r="656" spans="5:45" ht="16.5" customHeight="1">
      <c r="E656" s="195"/>
      <c r="F656" s="195"/>
      <c r="G656" s="195"/>
      <c r="H656" s="195"/>
      <c r="I656" s="195"/>
      <c r="J656" s="195"/>
      <c r="K656" s="195"/>
      <c r="L656" s="195"/>
      <c r="M656" s="195"/>
      <c r="N656" s="195"/>
      <c r="O656" s="195"/>
      <c r="P656" s="195"/>
      <c r="Q656" s="195"/>
      <c r="R656" s="195"/>
      <c r="S656" s="195"/>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c r="AQ656" s="195"/>
      <c r="AR656" s="195"/>
      <c r="AS656" s="151"/>
    </row>
    <row r="657" spans="5:45" ht="16.5" customHeight="1">
      <c r="E657" s="195"/>
      <c r="F657" s="195"/>
      <c r="G657" s="195"/>
      <c r="H657" s="195"/>
      <c r="I657" s="195"/>
      <c r="J657" s="195"/>
      <c r="K657" s="195"/>
      <c r="L657" s="195"/>
      <c r="M657" s="195"/>
      <c r="N657" s="195"/>
      <c r="O657" s="195"/>
      <c r="P657" s="195"/>
      <c r="Q657" s="195"/>
      <c r="R657" s="195"/>
      <c r="S657" s="195"/>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c r="AQ657" s="195"/>
      <c r="AR657" s="195"/>
      <c r="AS657" s="151"/>
    </row>
    <row r="658" spans="5:45" ht="16.5" customHeight="1">
      <c r="E658" s="195"/>
      <c r="F658" s="195"/>
      <c r="G658" s="195"/>
      <c r="H658" s="195"/>
      <c r="I658" s="195"/>
      <c r="J658" s="195"/>
      <c r="K658" s="195"/>
      <c r="L658" s="195"/>
      <c r="M658" s="195"/>
      <c r="N658" s="195"/>
      <c r="O658" s="195"/>
      <c r="P658" s="195"/>
      <c r="Q658" s="195"/>
      <c r="R658" s="195"/>
      <c r="S658" s="195"/>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c r="AQ658" s="195"/>
      <c r="AR658" s="195"/>
      <c r="AS658" s="151"/>
    </row>
    <row r="659" spans="5:45" ht="16.5" customHeight="1">
      <c r="E659" s="195"/>
      <c r="F659" s="195"/>
      <c r="G659" s="195"/>
      <c r="H659" s="195"/>
      <c r="I659" s="195"/>
      <c r="J659" s="195"/>
      <c r="K659" s="195"/>
      <c r="L659" s="195"/>
      <c r="M659" s="195"/>
      <c r="N659" s="195"/>
      <c r="O659" s="195"/>
      <c r="P659" s="195"/>
      <c r="Q659" s="195"/>
      <c r="R659" s="195"/>
      <c r="S659" s="195"/>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c r="AQ659" s="195"/>
      <c r="AR659" s="195"/>
      <c r="AS659" s="151"/>
    </row>
    <row r="660" spans="5:45" ht="16.5" customHeight="1">
      <c r="E660" s="195"/>
      <c r="F660" s="195"/>
      <c r="G660" s="195"/>
      <c r="H660" s="195"/>
      <c r="I660" s="195"/>
      <c r="J660" s="195"/>
      <c r="K660" s="195"/>
      <c r="L660" s="195"/>
      <c r="M660" s="195"/>
      <c r="N660" s="195"/>
      <c r="O660" s="195"/>
      <c r="P660" s="195"/>
      <c r="Q660" s="195"/>
      <c r="R660" s="195"/>
      <c r="S660" s="195"/>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c r="AQ660" s="195"/>
      <c r="AR660" s="195"/>
      <c r="AS660" s="151"/>
    </row>
    <row r="661" spans="5:45" ht="16.5" customHeight="1">
      <c r="E661" s="195"/>
      <c r="F661" s="195"/>
      <c r="G661" s="195"/>
      <c r="H661" s="195"/>
      <c r="I661" s="195"/>
      <c r="J661" s="195"/>
      <c r="K661" s="195"/>
      <c r="L661" s="195"/>
      <c r="M661" s="195"/>
      <c r="N661" s="195"/>
      <c r="O661" s="195"/>
      <c r="P661" s="195"/>
      <c r="Q661" s="195"/>
      <c r="R661" s="195"/>
      <c r="S661" s="195"/>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c r="AQ661" s="195"/>
      <c r="AR661" s="195"/>
      <c r="AS661" s="151"/>
    </row>
    <row r="662" spans="5:45" ht="16.5" customHeight="1">
      <c r="E662" s="195"/>
      <c r="F662" s="195"/>
      <c r="G662" s="195"/>
      <c r="H662" s="195"/>
      <c r="I662" s="195"/>
      <c r="J662" s="195"/>
      <c r="K662" s="195"/>
      <c r="L662" s="195"/>
      <c r="M662" s="195"/>
      <c r="N662" s="195"/>
      <c r="O662" s="195"/>
      <c r="P662" s="195"/>
      <c r="Q662" s="195"/>
      <c r="R662" s="195"/>
      <c r="S662" s="195"/>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c r="AQ662" s="195"/>
      <c r="AR662" s="195"/>
      <c r="AS662" s="151"/>
    </row>
    <row r="663" spans="5:45" ht="16.5" customHeight="1">
      <c r="E663" s="195"/>
      <c r="F663" s="195"/>
      <c r="G663" s="195"/>
      <c r="H663" s="195"/>
      <c r="I663" s="195"/>
      <c r="J663" s="195"/>
      <c r="K663" s="195"/>
      <c r="L663" s="195"/>
      <c r="M663" s="195"/>
      <c r="N663" s="195"/>
      <c r="O663" s="195"/>
      <c r="P663" s="195"/>
      <c r="Q663" s="195"/>
      <c r="R663" s="195"/>
      <c r="S663" s="195"/>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c r="AQ663" s="195"/>
      <c r="AR663" s="195"/>
      <c r="AS663" s="151"/>
    </row>
    <row r="664" spans="5:45" ht="16.5" customHeight="1">
      <c r="E664" s="195"/>
      <c r="F664" s="195"/>
      <c r="G664" s="195"/>
      <c r="H664" s="195"/>
      <c r="I664" s="195"/>
      <c r="J664" s="195"/>
      <c r="K664" s="195"/>
      <c r="L664" s="195"/>
      <c r="M664" s="195"/>
      <c r="N664" s="195"/>
      <c r="O664" s="195"/>
      <c r="P664" s="195"/>
      <c r="Q664" s="195"/>
      <c r="R664" s="195"/>
      <c r="S664" s="195"/>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c r="AQ664" s="195"/>
      <c r="AR664" s="195"/>
      <c r="AS664" s="151"/>
    </row>
    <row r="665" spans="5:45" ht="16.5" customHeight="1">
      <c r="E665" s="195"/>
      <c r="F665" s="195"/>
      <c r="G665" s="195"/>
      <c r="H665" s="195"/>
      <c r="I665" s="195"/>
      <c r="J665" s="195"/>
      <c r="K665" s="195"/>
      <c r="L665" s="195"/>
      <c r="M665" s="195"/>
      <c r="N665" s="195"/>
      <c r="O665" s="195"/>
      <c r="P665" s="195"/>
      <c r="Q665" s="195"/>
      <c r="R665" s="195"/>
      <c r="S665" s="195"/>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c r="AQ665" s="195"/>
      <c r="AR665" s="195"/>
      <c r="AS665" s="151"/>
    </row>
    <row r="666" spans="5:45" ht="16.5" customHeight="1">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c r="AQ666" s="195"/>
      <c r="AR666" s="195"/>
      <c r="AS666" s="151"/>
    </row>
    <row r="667" spans="5:45" ht="16.5" customHeight="1">
      <c r="E667" s="195"/>
      <c r="F667" s="195"/>
      <c r="G667" s="195"/>
      <c r="H667" s="195"/>
      <c r="I667" s="195"/>
      <c r="J667" s="195"/>
      <c r="K667" s="195"/>
      <c r="L667" s="195"/>
      <c r="M667" s="195"/>
      <c r="N667" s="195"/>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c r="AQ667" s="195"/>
      <c r="AR667" s="195"/>
      <c r="AS667" s="151"/>
    </row>
    <row r="668" spans="5:45" ht="16.5" customHeight="1">
      <c r="E668" s="195"/>
      <c r="F668" s="195"/>
      <c r="G668" s="195"/>
      <c r="H668" s="195"/>
      <c r="I668" s="195"/>
      <c r="J668" s="195"/>
      <c r="K668" s="195"/>
      <c r="L668" s="195"/>
      <c r="M668" s="195"/>
      <c r="N668" s="195"/>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c r="AQ668" s="195"/>
      <c r="AR668" s="195"/>
      <c r="AS668" s="151"/>
    </row>
    <row r="669" spans="5:45" ht="16.5" customHeight="1">
      <c r="E669" s="195"/>
      <c r="F669" s="195"/>
      <c r="G669" s="195"/>
      <c r="H669" s="195"/>
      <c r="I669" s="195"/>
      <c r="J669" s="195"/>
      <c r="K669" s="195"/>
      <c r="L669" s="195"/>
      <c r="M669" s="195"/>
      <c r="N669" s="195"/>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c r="AQ669" s="195"/>
      <c r="AR669" s="195"/>
      <c r="AS669" s="151"/>
    </row>
    <row r="670" spans="5:45" ht="16.5" customHeight="1">
      <c r="E670" s="195"/>
      <c r="F670" s="195"/>
      <c r="G670" s="195"/>
      <c r="H670" s="195"/>
      <c r="I670" s="195"/>
      <c r="J670" s="195"/>
      <c r="K670" s="195"/>
      <c r="L670" s="195"/>
      <c r="M670" s="195"/>
      <c r="N670" s="195"/>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c r="AQ670" s="195"/>
      <c r="AR670" s="195"/>
      <c r="AS670" s="151"/>
    </row>
    <row r="671" spans="5:45" ht="16.5" customHeight="1">
      <c r="E671" s="195"/>
      <c r="F671" s="195"/>
      <c r="G671" s="195"/>
      <c r="H671" s="195"/>
      <c r="I671" s="195"/>
      <c r="J671" s="195"/>
      <c r="K671" s="195"/>
      <c r="L671" s="195"/>
      <c r="M671" s="195"/>
      <c r="N671" s="195"/>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c r="AQ671" s="195"/>
      <c r="AR671" s="195"/>
      <c r="AS671" s="151"/>
    </row>
    <row r="672" spans="5:45" ht="16.5" customHeight="1">
      <c r="E672" s="195"/>
      <c r="F672" s="195"/>
      <c r="G672" s="195"/>
      <c r="H672" s="195"/>
      <c r="I672" s="195"/>
      <c r="J672" s="195"/>
      <c r="K672" s="195"/>
      <c r="L672" s="195"/>
      <c r="M672" s="195"/>
      <c r="N672" s="195"/>
      <c r="O672" s="195"/>
      <c r="P672" s="195"/>
      <c r="Q672" s="195"/>
      <c r="R672" s="195"/>
      <c r="S672" s="195"/>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c r="AQ672" s="195"/>
      <c r="AR672" s="195"/>
      <c r="AS672" s="151"/>
    </row>
    <row r="673" spans="5:45" ht="16.5" customHeight="1">
      <c r="E673" s="195"/>
      <c r="F673" s="195"/>
      <c r="G673" s="195"/>
      <c r="H673" s="195"/>
      <c r="I673" s="195"/>
      <c r="J673" s="195"/>
      <c r="K673" s="195"/>
      <c r="L673" s="195"/>
      <c r="M673" s="195"/>
      <c r="N673" s="195"/>
      <c r="O673" s="195"/>
      <c r="P673" s="195"/>
      <c r="Q673" s="195"/>
      <c r="R673" s="195"/>
      <c r="S673" s="195"/>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c r="AQ673" s="195"/>
      <c r="AR673" s="195"/>
      <c r="AS673" s="151"/>
    </row>
    <row r="674" spans="5:45" ht="16.5" customHeight="1">
      <c r="E674" s="195"/>
      <c r="F674" s="195"/>
      <c r="G674" s="195"/>
      <c r="H674" s="195"/>
      <c r="I674" s="195"/>
      <c r="J674" s="195"/>
      <c r="K674" s="195"/>
      <c r="L674" s="195"/>
      <c r="M674" s="195"/>
      <c r="N674" s="195"/>
      <c r="O674" s="195"/>
      <c r="P674" s="195"/>
      <c r="Q674" s="195"/>
      <c r="R674" s="195"/>
      <c r="S674" s="195"/>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c r="AQ674" s="195"/>
      <c r="AR674" s="195"/>
      <c r="AS674" s="151"/>
    </row>
    <row r="675" spans="5:45" ht="16.5" customHeight="1">
      <c r="E675" s="195"/>
      <c r="F675" s="195"/>
      <c r="G675" s="195"/>
      <c r="H675" s="195"/>
      <c r="I675" s="195"/>
      <c r="J675" s="195"/>
      <c r="K675" s="195"/>
      <c r="L675" s="195"/>
      <c r="M675" s="195"/>
      <c r="N675" s="195"/>
      <c r="O675" s="195"/>
      <c r="P675" s="195"/>
      <c r="Q675" s="195"/>
      <c r="R675" s="195"/>
      <c r="S675" s="195"/>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c r="AQ675" s="195"/>
      <c r="AR675" s="195"/>
      <c r="AS675" s="151"/>
    </row>
    <row r="676" spans="5:45" ht="16.5" customHeight="1">
      <c r="E676" s="195"/>
      <c r="F676" s="195"/>
      <c r="G676" s="195"/>
      <c r="H676" s="195"/>
      <c r="I676" s="195"/>
      <c r="J676" s="195"/>
      <c r="K676" s="195"/>
      <c r="L676" s="195"/>
      <c r="M676" s="195"/>
      <c r="N676" s="195"/>
      <c r="O676" s="195"/>
      <c r="P676" s="195"/>
      <c r="Q676" s="195"/>
      <c r="R676" s="195"/>
      <c r="S676" s="195"/>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c r="AQ676" s="195"/>
      <c r="AR676" s="195"/>
      <c r="AS676" s="151"/>
    </row>
    <row r="677" spans="5:45" ht="16.5" customHeight="1">
      <c r="E677" s="195"/>
      <c r="F677" s="195"/>
      <c r="G677" s="195"/>
      <c r="H677" s="195"/>
      <c r="I677" s="195"/>
      <c r="J677" s="195"/>
      <c r="K677" s="195"/>
      <c r="L677" s="195"/>
      <c r="M677" s="195"/>
      <c r="N677" s="195"/>
      <c r="O677" s="195"/>
      <c r="P677" s="195"/>
      <c r="Q677" s="195"/>
      <c r="R677" s="195"/>
      <c r="S677" s="195"/>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c r="AQ677" s="195"/>
      <c r="AR677" s="195"/>
      <c r="AS677" s="151"/>
    </row>
    <row r="678" spans="5:45" ht="16.5" customHeight="1">
      <c r="E678" s="195"/>
      <c r="F678" s="195"/>
      <c r="G678" s="195"/>
      <c r="H678" s="195"/>
      <c r="I678" s="195"/>
      <c r="J678" s="195"/>
      <c r="K678" s="195"/>
      <c r="L678" s="195"/>
      <c r="M678" s="195"/>
      <c r="N678" s="195"/>
      <c r="O678" s="195"/>
      <c r="P678" s="195"/>
      <c r="Q678" s="195"/>
      <c r="R678" s="195"/>
      <c r="S678" s="195"/>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c r="AQ678" s="195"/>
      <c r="AR678" s="195"/>
      <c r="AS678" s="151"/>
    </row>
    <row r="679" spans="5:45" ht="16.5" customHeight="1">
      <c r="E679" s="195"/>
      <c r="F679" s="195"/>
      <c r="G679" s="195"/>
      <c r="H679" s="195"/>
      <c r="I679" s="195"/>
      <c r="J679" s="195"/>
      <c r="K679" s="195"/>
      <c r="L679" s="195"/>
      <c r="M679" s="195"/>
      <c r="N679" s="195"/>
      <c r="O679" s="195"/>
      <c r="P679" s="195"/>
      <c r="Q679" s="195"/>
      <c r="R679" s="195"/>
      <c r="S679" s="195"/>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c r="AQ679" s="195"/>
      <c r="AR679" s="195"/>
      <c r="AS679" s="151"/>
    </row>
    <row r="680" spans="5:45" ht="16.5" customHeight="1">
      <c r="E680" s="195"/>
      <c r="F680" s="195"/>
      <c r="G680" s="195"/>
      <c r="H680" s="195"/>
      <c r="I680" s="195"/>
      <c r="J680" s="195"/>
      <c r="K680" s="195"/>
      <c r="L680" s="195"/>
      <c r="M680" s="195"/>
      <c r="N680" s="195"/>
      <c r="O680" s="195"/>
      <c r="P680" s="195"/>
      <c r="Q680" s="195"/>
      <c r="R680" s="195"/>
      <c r="S680" s="195"/>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c r="AQ680" s="195"/>
      <c r="AR680" s="195"/>
      <c r="AS680" s="151"/>
    </row>
    <row r="681" spans="5:45" ht="16.5" customHeight="1">
      <c r="E681" s="195"/>
      <c r="F681" s="195"/>
      <c r="G681" s="195"/>
      <c r="H681" s="195"/>
      <c r="I681" s="195"/>
      <c r="J681" s="195"/>
      <c r="K681" s="195"/>
      <c r="L681" s="195"/>
      <c r="M681" s="195"/>
      <c r="N681" s="195"/>
      <c r="O681" s="195"/>
      <c r="P681" s="195"/>
      <c r="Q681" s="195"/>
      <c r="R681" s="195"/>
      <c r="S681" s="195"/>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c r="AQ681" s="195"/>
      <c r="AR681" s="195"/>
      <c r="AS681" s="151"/>
    </row>
    <row r="682" spans="5:45" ht="16.5" customHeight="1">
      <c r="E682" s="195"/>
      <c r="F682" s="195"/>
      <c r="G682" s="195"/>
      <c r="H682" s="195"/>
      <c r="I682" s="195"/>
      <c r="J682" s="195"/>
      <c r="K682" s="195"/>
      <c r="L682" s="195"/>
      <c r="M682" s="195"/>
      <c r="N682" s="195"/>
      <c r="O682" s="195"/>
      <c r="P682" s="195"/>
      <c r="Q682" s="195"/>
      <c r="R682" s="195"/>
      <c r="S682" s="195"/>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c r="AQ682" s="195"/>
      <c r="AR682" s="195"/>
      <c r="AS682" s="151"/>
    </row>
    <row r="683" spans="5:45" ht="16.5" customHeight="1">
      <c r="E683" s="195"/>
      <c r="F683" s="195"/>
      <c r="G683" s="195"/>
      <c r="H683" s="195"/>
      <c r="I683" s="195"/>
      <c r="J683" s="195"/>
      <c r="K683" s="195"/>
      <c r="L683" s="195"/>
      <c r="M683" s="195"/>
      <c r="N683" s="195"/>
      <c r="O683" s="195"/>
      <c r="P683" s="195"/>
      <c r="Q683" s="195"/>
      <c r="R683" s="195"/>
      <c r="S683" s="195"/>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c r="AQ683" s="195"/>
      <c r="AR683" s="195"/>
      <c r="AS683" s="151"/>
    </row>
    <row r="684" spans="5:45" ht="16.5" customHeight="1">
      <c r="E684" s="195"/>
      <c r="F684" s="195"/>
      <c r="G684" s="195"/>
      <c r="H684" s="195"/>
      <c r="I684" s="195"/>
      <c r="J684" s="195"/>
      <c r="K684" s="195"/>
      <c r="L684" s="195"/>
      <c r="M684" s="195"/>
      <c r="N684" s="195"/>
      <c r="O684" s="195"/>
      <c r="P684" s="195"/>
      <c r="Q684" s="195"/>
      <c r="R684" s="195"/>
      <c r="S684" s="195"/>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c r="AQ684" s="195"/>
      <c r="AR684" s="195"/>
      <c r="AS684" s="151"/>
    </row>
    <row r="685" spans="5:45" ht="16.5" customHeight="1">
      <c r="E685" s="195"/>
      <c r="F685" s="195"/>
      <c r="G685" s="195"/>
      <c r="H685" s="195"/>
      <c r="I685" s="195"/>
      <c r="J685" s="195"/>
      <c r="K685" s="195"/>
      <c r="L685" s="195"/>
      <c r="M685" s="195"/>
      <c r="N685" s="195"/>
      <c r="O685" s="195"/>
      <c r="P685" s="195"/>
      <c r="Q685" s="195"/>
      <c r="R685" s="195"/>
      <c r="S685" s="195"/>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c r="AQ685" s="195"/>
      <c r="AR685" s="195"/>
      <c r="AS685" s="151"/>
    </row>
    <row r="686" spans="5:45" ht="16.5" customHeight="1">
      <c r="E686" s="195"/>
      <c r="F686" s="195"/>
      <c r="G686" s="195"/>
      <c r="H686" s="195"/>
      <c r="I686" s="195"/>
      <c r="J686" s="195"/>
      <c r="K686" s="195"/>
      <c r="L686" s="195"/>
      <c r="M686" s="195"/>
      <c r="N686" s="195"/>
      <c r="O686" s="195"/>
      <c r="P686" s="195"/>
      <c r="Q686" s="195"/>
      <c r="R686" s="195"/>
      <c r="S686" s="195"/>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c r="AQ686" s="195"/>
      <c r="AR686" s="195"/>
      <c r="AS686" s="151"/>
    </row>
    <row r="687" spans="5:45" ht="16.5" customHeight="1">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c r="AQ687" s="195"/>
      <c r="AR687" s="195"/>
      <c r="AS687" s="151"/>
    </row>
    <row r="688" spans="5:45" ht="16.5" customHeight="1">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c r="AQ688" s="195"/>
      <c r="AR688" s="195"/>
      <c r="AS688" s="151"/>
    </row>
    <row r="689" spans="5:45" ht="16.5" customHeight="1">
      <c r="E689" s="195"/>
      <c r="F689" s="195"/>
      <c r="G689" s="195"/>
      <c r="H689" s="195"/>
      <c r="I689" s="195"/>
      <c r="J689" s="195"/>
      <c r="K689" s="195"/>
      <c r="L689" s="195"/>
      <c r="M689" s="195"/>
      <c r="N689" s="195"/>
      <c r="O689" s="195"/>
      <c r="P689" s="195"/>
      <c r="Q689" s="195"/>
      <c r="R689" s="195"/>
      <c r="S689" s="195"/>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c r="AQ689" s="195"/>
      <c r="AR689" s="195"/>
      <c r="AS689" s="151"/>
    </row>
    <row r="690" spans="5:45" ht="16.5" customHeight="1">
      <c r="E690" s="195"/>
      <c r="F690" s="195"/>
      <c r="G690" s="195"/>
      <c r="H690" s="195"/>
      <c r="I690" s="195"/>
      <c r="J690" s="195"/>
      <c r="K690" s="195"/>
      <c r="L690" s="195"/>
      <c r="M690" s="195"/>
      <c r="N690" s="195"/>
      <c r="O690" s="195"/>
      <c r="P690" s="195"/>
      <c r="Q690" s="195"/>
      <c r="R690" s="195"/>
      <c r="S690" s="195"/>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c r="AQ690" s="195"/>
      <c r="AR690" s="195"/>
      <c r="AS690" s="151"/>
    </row>
    <row r="691" spans="5:45" ht="16.5" customHeight="1">
      <c r="E691" s="195"/>
      <c r="F691" s="195"/>
      <c r="G691" s="195"/>
      <c r="H691" s="195"/>
      <c r="I691" s="195"/>
      <c r="J691" s="195"/>
      <c r="K691" s="195"/>
      <c r="L691" s="195"/>
      <c r="M691" s="195"/>
      <c r="N691" s="195"/>
      <c r="O691" s="195"/>
      <c r="P691" s="195"/>
      <c r="Q691" s="195"/>
      <c r="R691" s="195"/>
      <c r="S691" s="195"/>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c r="AQ691" s="195"/>
      <c r="AR691" s="195"/>
      <c r="AS691" s="151"/>
    </row>
    <row r="692" spans="5:45" ht="16.5" customHeight="1">
      <c r="E692" s="195"/>
      <c r="F692" s="195"/>
      <c r="G692" s="195"/>
      <c r="H692" s="195"/>
      <c r="I692" s="195"/>
      <c r="J692" s="195"/>
      <c r="K692" s="195"/>
      <c r="L692" s="195"/>
      <c r="M692" s="195"/>
      <c r="N692" s="195"/>
      <c r="O692" s="195"/>
      <c r="P692" s="195"/>
      <c r="Q692" s="195"/>
      <c r="R692" s="195"/>
      <c r="S692" s="195"/>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c r="AQ692" s="195"/>
      <c r="AR692" s="195"/>
      <c r="AS692" s="151"/>
    </row>
    <row r="693" spans="5:45" ht="16.5" customHeight="1">
      <c r="E693" s="195"/>
      <c r="F693" s="195"/>
      <c r="G693" s="195"/>
      <c r="H693" s="195"/>
      <c r="I693" s="195"/>
      <c r="J693" s="195"/>
      <c r="K693" s="195"/>
      <c r="L693" s="195"/>
      <c r="M693" s="195"/>
      <c r="N693" s="195"/>
      <c r="O693" s="195"/>
      <c r="P693" s="195"/>
      <c r="Q693" s="195"/>
      <c r="R693" s="195"/>
      <c r="S693" s="195"/>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c r="AQ693" s="195"/>
      <c r="AR693" s="195"/>
      <c r="AS693" s="151"/>
    </row>
    <row r="694" spans="5:45" ht="16.5" customHeight="1">
      <c r="E694" s="195"/>
      <c r="F694" s="195"/>
      <c r="G694" s="195"/>
      <c r="H694" s="195"/>
      <c r="I694" s="195"/>
      <c r="J694" s="195"/>
      <c r="K694" s="195"/>
      <c r="L694" s="195"/>
      <c r="M694" s="195"/>
      <c r="N694" s="195"/>
      <c r="O694" s="195"/>
      <c r="P694" s="195"/>
      <c r="Q694" s="195"/>
      <c r="R694" s="195"/>
      <c r="S694" s="195"/>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c r="AQ694" s="195"/>
      <c r="AR694" s="195"/>
      <c r="AS694" s="151"/>
    </row>
    <row r="695" spans="5:45" ht="16.5" customHeight="1">
      <c r="E695" s="195"/>
      <c r="F695" s="195"/>
      <c r="G695" s="195"/>
      <c r="H695" s="195"/>
      <c r="I695" s="195"/>
      <c r="J695" s="195"/>
      <c r="K695" s="195"/>
      <c r="L695" s="195"/>
      <c r="M695" s="195"/>
      <c r="N695" s="195"/>
      <c r="O695" s="195"/>
      <c r="P695" s="195"/>
      <c r="Q695" s="195"/>
      <c r="R695" s="195"/>
      <c r="S695" s="195"/>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c r="AQ695" s="195"/>
      <c r="AR695" s="195"/>
      <c r="AS695" s="151"/>
    </row>
    <row r="696" spans="5:45" ht="16.5" customHeight="1">
      <c r="E696" s="195"/>
      <c r="F696" s="195"/>
      <c r="G696" s="195"/>
      <c r="H696" s="195"/>
      <c r="I696" s="195"/>
      <c r="J696" s="195"/>
      <c r="K696" s="195"/>
      <c r="L696" s="195"/>
      <c r="M696" s="195"/>
      <c r="N696" s="195"/>
      <c r="O696" s="195"/>
      <c r="P696" s="195"/>
      <c r="Q696" s="195"/>
      <c r="R696" s="195"/>
      <c r="S696" s="195"/>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c r="AQ696" s="195"/>
      <c r="AR696" s="195"/>
      <c r="AS696" s="151"/>
    </row>
    <row r="697" spans="5:45" ht="16.5" customHeight="1">
      <c r="E697" s="195"/>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51"/>
    </row>
    <row r="698" spans="5:45" ht="16.5" customHeight="1">
      <c r="E698" s="195"/>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51"/>
    </row>
    <row r="699" spans="5:45" ht="16.5" customHeight="1">
      <c r="E699" s="195"/>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51"/>
    </row>
    <row r="700" spans="5:45" ht="16.5" customHeight="1">
      <c r="E700" s="195"/>
      <c r="F700" s="195"/>
      <c r="G700" s="195"/>
      <c r="H700" s="195"/>
      <c r="I700" s="195"/>
      <c r="J700" s="195"/>
      <c r="K700" s="195"/>
      <c r="L700" s="195"/>
      <c r="M700" s="195"/>
      <c r="N700" s="195"/>
      <c r="O700" s="195"/>
      <c r="P700" s="195"/>
      <c r="Q700" s="195"/>
      <c r="R700" s="195"/>
      <c r="S700" s="195"/>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c r="AQ700" s="195"/>
      <c r="AR700" s="195"/>
      <c r="AS700" s="151"/>
    </row>
    <row r="701" spans="5:45" ht="16.5" customHeight="1">
      <c r="E701" s="195"/>
      <c r="F701" s="195"/>
      <c r="G701" s="195"/>
      <c r="H701" s="195"/>
      <c r="I701" s="195"/>
      <c r="J701" s="195"/>
      <c r="K701" s="195"/>
      <c r="L701" s="195"/>
      <c r="M701" s="195"/>
      <c r="N701" s="195"/>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c r="AQ701" s="195"/>
      <c r="AR701" s="195"/>
      <c r="AS701" s="151"/>
    </row>
    <row r="702" spans="5:45" ht="16.5" customHeight="1">
      <c r="E702" s="195"/>
      <c r="F702" s="195"/>
      <c r="G702" s="195"/>
      <c r="H702" s="195"/>
      <c r="I702" s="195"/>
      <c r="J702" s="195"/>
      <c r="K702" s="195"/>
      <c r="L702" s="195"/>
      <c r="M702" s="195"/>
      <c r="N702" s="195"/>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c r="AQ702" s="195"/>
      <c r="AR702" s="195"/>
      <c r="AS702" s="151"/>
    </row>
  </sheetData>
  <sheetProtection password="EE63" sheet="1"/>
  <mergeCells count="945">
    <mergeCell ref="Z194:AD194"/>
    <mergeCell ref="Z196:AD196"/>
    <mergeCell ref="AE201:AG201"/>
    <mergeCell ref="AM201:AQ201"/>
    <mergeCell ref="AM218:AQ218"/>
    <mergeCell ref="AE237:AH237"/>
    <mergeCell ref="Z214:AD214"/>
    <mergeCell ref="AM215:AQ215"/>
    <mergeCell ref="AM200:AQ200"/>
    <mergeCell ref="R213:AD213"/>
    <mergeCell ref="BH231:BI231"/>
    <mergeCell ref="AZ231:BA231"/>
    <mergeCell ref="BB231:BC231"/>
    <mergeCell ref="BD231:BE231"/>
    <mergeCell ref="BF231:BG231"/>
    <mergeCell ref="AE249:AH249"/>
    <mergeCell ref="AE247:AH247"/>
    <mergeCell ref="AI247:AM247"/>
    <mergeCell ref="AE248:AH248"/>
    <mergeCell ref="AI248:AM248"/>
    <mergeCell ref="Z193:AD193"/>
    <mergeCell ref="AE197:AL197"/>
    <mergeCell ref="AE196:AL196"/>
    <mergeCell ref="AM222:AQ222"/>
    <mergeCell ref="AE222:AL222"/>
    <mergeCell ref="BH191:BI191"/>
    <mergeCell ref="BF214:BG214"/>
    <mergeCell ref="BH214:BI214"/>
    <mergeCell ref="AZ214:BA214"/>
    <mergeCell ref="BB214:BC214"/>
    <mergeCell ref="BD214:BE214"/>
    <mergeCell ref="AE289:AL289"/>
    <mergeCell ref="R284:Y284"/>
    <mergeCell ref="AZ191:BA191"/>
    <mergeCell ref="BB191:BC191"/>
    <mergeCell ref="BD191:BE191"/>
    <mergeCell ref="AZ280:BA280"/>
    <mergeCell ref="BB280:BC280"/>
    <mergeCell ref="BD280:BE280"/>
    <mergeCell ref="AE285:AL285"/>
    <mergeCell ref="BF191:BG191"/>
    <mergeCell ref="BB263:BC263"/>
    <mergeCell ref="BD263:BE263"/>
    <mergeCell ref="BF263:BG263"/>
    <mergeCell ref="AE246:AH246"/>
    <mergeCell ref="BH263:BI263"/>
    <mergeCell ref="AM219:AQ219"/>
    <mergeCell ref="AM221:AQ221"/>
    <mergeCell ref="AE191:AL191"/>
    <mergeCell ref="AE218:AL218"/>
    <mergeCell ref="BF280:BG280"/>
    <mergeCell ref="BH280:BI280"/>
    <mergeCell ref="AZ263:BA263"/>
    <mergeCell ref="AM284:AQ284"/>
    <mergeCell ref="AM285:AQ285"/>
    <mergeCell ref="AM199:AQ199"/>
    <mergeCell ref="AM282:AQ282"/>
    <mergeCell ref="AI249:AM249"/>
    <mergeCell ref="AE284:AL284"/>
    <mergeCell ref="AE216:AL216"/>
    <mergeCell ref="AM175:AQ175"/>
    <mergeCell ref="AE174:AL174"/>
    <mergeCell ref="F190:Q191"/>
    <mergeCell ref="AM350:AQ350"/>
    <mergeCell ref="AE349:AL349"/>
    <mergeCell ref="AM347:AQ347"/>
    <mergeCell ref="AM346:AQ346"/>
    <mergeCell ref="AM348:AQ348"/>
    <mergeCell ref="AE347:AL347"/>
    <mergeCell ref="AM349:AQ349"/>
    <mergeCell ref="R191:Y191"/>
    <mergeCell ref="AE164:AL164"/>
    <mergeCell ref="G185:AQ185"/>
    <mergeCell ref="AM165:AQ165"/>
    <mergeCell ref="R164:Y164"/>
    <mergeCell ref="Z170:AD170"/>
    <mergeCell ref="Z173:AD173"/>
    <mergeCell ref="Z174:AD174"/>
    <mergeCell ref="AM174:AQ174"/>
    <mergeCell ref="AE168:AL168"/>
    <mergeCell ref="F193:Q193"/>
    <mergeCell ref="AM193:AQ193"/>
    <mergeCell ref="AE173:AL173"/>
    <mergeCell ref="G181:AQ181"/>
    <mergeCell ref="AM173:AQ173"/>
    <mergeCell ref="AE193:AL193"/>
    <mergeCell ref="AE175:AI175"/>
    <mergeCell ref="G184:AQ184"/>
    <mergeCell ref="AM191:AQ191"/>
    <mergeCell ref="G182:AQ183"/>
    <mergeCell ref="M195:N195"/>
    <mergeCell ref="AM195:AQ195"/>
    <mergeCell ref="Z191:AD191"/>
    <mergeCell ref="R193:Y193"/>
    <mergeCell ref="R194:Y194"/>
    <mergeCell ref="AM192:AQ192"/>
    <mergeCell ref="Z192:AD192"/>
    <mergeCell ref="R192:Y192"/>
    <mergeCell ref="AM194:AQ194"/>
    <mergeCell ref="AE194:AL194"/>
    <mergeCell ref="Z166:AD166"/>
    <mergeCell ref="Z165:AD165"/>
    <mergeCell ref="Z163:AD163"/>
    <mergeCell ref="AM166:AQ166"/>
    <mergeCell ref="AM169:AQ169"/>
    <mergeCell ref="AM168:AQ168"/>
    <mergeCell ref="AM167:AQ167"/>
    <mergeCell ref="Z169:AD169"/>
    <mergeCell ref="AE166:AL166"/>
    <mergeCell ref="AE167:AL167"/>
    <mergeCell ref="R168:Y168"/>
    <mergeCell ref="R163:Y163"/>
    <mergeCell ref="R162:Y162"/>
    <mergeCell ref="R167:Y167"/>
    <mergeCell ref="R166:Y166"/>
    <mergeCell ref="R165:Y165"/>
    <mergeCell ref="Z167:AD167"/>
    <mergeCell ref="AE195:AL195"/>
    <mergeCell ref="Z197:AD197"/>
    <mergeCell ref="AM196:AQ196"/>
    <mergeCell ref="Z198:AD198"/>
    <mergeCell ref="AM170:AQ170"/>
    <mergeCell ref="AE172:AL172"/>
    <mergeCell ref="AE171:AL171"/>
    <mergeCell ref="Z171:AD171"/>
    <mergeCell ref="Z168:AD168"/>
    <mergeCell ref="AE170:AL170"/>
    <mergeCell ref="R190:AD190"/>
    <mergeCell ref="I167:J167"/>
    <mergeCell ref="I171:J171"/>
    <mergeCell ref="AE198:AL198"/>
    <mergeCell ref="Z199:AD199"/>
    <mergeCell ref="Z195:AD195"/>
    <mergeCell ref="R197:Y197"/>
    <mergeCell ref="R196:Y196"/>
    <mergeCell ref="R195:Y195"/>
    <mergeCell ref="R174:Y174"/>
    <mergeCell ref="I172:J172"/>
    <mergeCell ref="R172:Y172"/>
    <mergeCell ref="R173:Y173"/>
    <mergeCell ref="R169:Y169"/>
    <mergeCell ref="R170:Y170"/>
    <mergeCell ref="R171:Y171"/>
    <mergeCell ref="N171:P171"/>
    <mergeCell ref="N170:P170"/>
    <mergeCell ref="F173:Q173"/>
    <mergeCell ref="AE190:AQ190"/>
    <mergeCell ref="AM161:AQ161"/>
    <mergeCell ref="AE161:AL161"/>
    <mergeCell ref="H144:AP145"/>
    <mergeCell ref="F175:AD175"/>
    <mergeCell ref="Z172:AD172"/>
    <mergeCell ref="AM172:AQ172"/>
    <mergeCell ref="N168:P168"/>
    <mergeCell ref="N166:P166"/>
    <mergeCell ref="N172:P172"/>
    <mergeCell ref="AM138:AQ138"/>
    <mergeCell ref="AE138:AL138"/>
    <mergeCell ref="AM163:AQ163"/>
    <mergeCell ref="AE169:AL169"/>
    <mergeCell ref="AM164:AQ164"/>
    <mergeCell ref="AE165:AL165"/>
    <mergeCell ref="AE139:AL139"/>
    <mergeCell ref="H152:AP153"/>
    <mergeCell ref="H148:AP150"/>
    <mergeCell ref="R141:Y141"/>
    <mergeCell ref="AE132:AL132"/>
    <mergeCell ref="AE137:AL137"/>
    <mergeCell ref="AM137:AQ137"/>
    <mergeCell ref="Z160:AD160"/>
    <mergeCell ref="AM141:AQ141"/>
    <mergeCell ref="AM160:AQ160"/>
    <mergeCell ref="AE160:AL160"/>
    <mergeCell ref="AM139:AQ139"/>
    <mergeCell ref="AE140:AL140"/>
    <mergeCell ref="AM140:AQ140"/>
    <mergeCell ref="AE107:AH107"/>
    <mergeCell ref="AM132:AQ132"/>
    <mergeCell ref="AM136:AQ136"/>
    <mergeCell ref="AM135:AQ135"/>
    <mergeCell ref="AE134:AL134"/>
    <mergeCell ref="AM134:AQ134"/>
    <mergeCell ref="AE135:AL135"/>
    <mergeCell ref="AE136:AL136"/>
    <mergeCell ref="AE133:AL133"/>
    <mergeCell ref="AM133:AQ133"/>
    <mergeCell ref="AE130:AL130"/>
    <mergeCell ref="AM130:AQ130"/>
    <mergeCell ref="G124:P124"/>
    <mergeCell ref="R124:Y124"/>
    <mergeCell ref="R123:Y123"/>
    <mergeCell ref="AM129:AQ129"/>
    <mergeCell ref="AE129:AL129"/>
    <mergeCell ref="Z124:AD124"/>
    <mergeCell ref="G125:P125"/>
    <mergeCell ref="R125:Y125"/>
    <mergeCell ref="AE131:AL131"/>
    <mergeCell ref="AM131:AQ131"/>
    <mergeCell ref="G123:P123"/>
    <mergeCell ref="AM124:AQ124"/>
    <mergeCell ref="R126:Y126"/>
    <mergeCell ref="Z126:AD126"/>
    <mergeCell ref="AM125:AQ125"/>
    <mergeCell ref="AE125:AL125"/>
    <mergeCell ref="AE124:AL124"/>
    <mergeCell ref="AE123:AL123"/>
    <mergeCell ref="V105:Y105"/>
    <mergeCell ref="AI101:AM101"/>
    <mergeCell ref="AI105:AM105"/>
    <mergeCell ref="AI104:AM104"/>
    <mergeCell ref="Z105:AD105"/>
    <mergeCell ref="Z104:AD104"/>
    <mergeCell ref="AE102:AH102"/>
    <mergeCell ref="V101:Y101"/>
    <mergeCell ref="V102:Y102"/>
    <mergeCell ref="F98:G102"/>
    <mergeCell ref="AE101:AH101"/>
    <mergeCell ref="Z102:AD102"/>
    <mergeCell ref="I98:O98"/>
    <mergeCell ref="Z100:AD100"/>
    <mergeCell ref="AI103:AM103"/>
    <mergeCell ref="AI100:AM100"/>
    <mergeCell ref="H6:AP6"/>
    <mergeCell ref="AI96:AM97"/>
    <mergeCell ref="V97:Y97"/>
    <mergeCell ref="AE97:AH97"/>
    <mergeCell ref="AB24:AE24"/>
    <mergeCell ref="F96:P97"/>
    <mergeCell ref="F10:L10"/>
    <mergeCell ref="G69:AQ69"/>
    <mergeCell ref="G81:AQ83"/>
    <mergeCell ref="G77:AQ78"/>
    <mergeCell ref="F121:Q122"/>
    <mergeCell ref="Q105:U105"/>
    <mergeCell ref="V106:Y106"/>
    <mergeCell ref="Z103:AD103"/>
    <mergeCell ref="AE103:AH103"/>
    <mergeCell ref="AE104:AH104"/>
    <mergeCell ref="Q106:U106"/>
    <mergeCell ref="Q104:U104"/>
    <mergeCell ref="V104:Y104"/>
    <mergeCell ref="H116:AM116"/>
    <mergeCell ref="AE126:AL126"/>
    <mergeCell ref="AM128:AQ128"/>
    <mergeCell ref="AE108:AH108"/>
    <mergeCell ref="AI108:AM108"/>
    <mergeCell ref="AE106:AH106"/>
    <mergeCell ref="AI107:AM107"/>
    <mergeCell ref="H113:AM114"/>
    <mergeCell ref="H115:AM115"/>
    <mergeCell ref="AM123:AQ123"/>
    <mergeCell ref="V107:Y107"/>
    <mergeCell ref="Z123:AD123"/>
    <mergeCell ref="R121:AD121"/>
    <mergeCell ref="AE121:AQ121"/>
    <mergeCell ref="R122:Y122"/>
    <mergeCell ref="Z122:AD122"/>
    <mergeCell ref="AM122:AQ122"/>
    <mergeCell ref="AE122:AL122"/>
    <mergeCell ref="Z125:AD125"/>
    <mergeCell ref="G128:P128"/>
    <mergeCell ref="R128:Y128"/>
    <mergeCell ref="Z128:AD128"/>
    <mergeCell ref="G127:P127"/>
    <mergeCell ref="R127:Y127"/>
    <mergeCell ref="Z127:AD127"/>
    <mergeCell ref="G126:P126"/>
    <mergeCell ref="G130:P130"/>
    <mergeCell ref="R130:Y130"/>
    <mergeCell ref="Z130:AD130"/>
    <mergeCell ref="G129:P129"/>
    <mergeCell ref="R129:Y129"/>
    <mergeCell ref="Z129:AD129"/>
    <mergeCell ref="G132:P132"/>
    <mergeCell ref="R132:Y132"/>
    <mergeCell ref="Z132:AD132"/>
    <mergeCell ref="G131:P131"/>
    <mergeCell ref="R131:Y131"/>
    <mergeCell ref="Z131:AD131"/>
    <mergeCell ref="G134:P134"/>
    <mergeCell ref="R134:Y134"/>
    <mergeCell ref="Z134:AD134"/>
    <mergeCell ref="G133:P133"/>
    <mergeCell ref="R133:Y133"/>
    <mergeCell ref="Z133:AD133"/>
    <mergeCell ref="G136:P136"/>
    <mergeCell ref="R136:Y136"/>
    <mergeCell ref="Z136:AD136"/>
    <mergeCell ref="R137:Y137"/>
    <mergeCell ref="G135:P135"/>
    <mergeCell ref="R135:Y135"/>
    <mergeCell ref="Z135:AD135"/>
    <mergeCell ref="Z137:AD137"/>
    <mergeCell ref="G137:P137"/>
    <mergeCell ref="R140:Y140"/>
    <mergeCell ref="Z140:AD140"/>
    <mergeCell ref="G139:P139"/>
    <mergeCell ref="R139:Y139"/>
    <mergeCell ref="Z139:AD139"/>
    <mergeCell ref="G138:P138"/>
    <mergeCell ref="R138:Y138"/>
    <mergeCell ref="Z138:AD138"/>
    <mergeCell ref="G140:P140"/>
    <mergeCell ref="Z141:AD141"/>
    <mergeCell ref="AE141:AL141"/>
    <mergeCell ref="I168:J168"/>
    <mergeCell ref="AE159:AQ159"/>
    <mergeCell ref="AM171:AQ171"/>
    <mergeCell ref="I164:J164"/>
    <mergeCell ref="N164:P164"/>
    <mergeCell ref="R160:Y160"/>
    <mergeCell ref="AM162:AQ162"/>
    <mergeCell ref="Z164:AD164"/>
    <mergeCell ref="AE162:AL162"/>
    <mergeCell ref="Z162:AD162"/>
    <mergeCell ref="AE163:AL163"/>
    <mergeCell ref="F159:Q160"/>
    <mergeCell ref="Z161:AD161"/>
    <mergeCell ref="R161:Y161"/>
    <mergeCell ref="I165:J165"/>
    <mergeCell ref="AE200:AL200"/>
    <mergeCell ref="Z221:AD221"/>
    <mergeCell ref="AE215:AL215"/>
    <mergeCell ref="I196:J196"/>
    <mergeCell ref="AE199:AL199"/>
    <mergeCell ref="G178:AQ180"/>
    <mergeCell ref="AM217:AQ217"/>
    <mergeCell ref="AE217:AL217"/>
    <mergeCell ref="AM198:AQ198"/>
    <mergeCell ref="R199:Y199"/>
    <mergeCell ref="R198:Y198"/>
    <mergeCell ref="AE234:AH234"/>
    <mergeCell ref="AI233:AM233"/>
    <mergeCell ref="AE280:AL280"/>
    <mergeCell ref="Z235:AD235"/>
    <mergeCell ref="Q264:U264"/>
    <mergeCell ref="AI237:AM237"/>
    <mergeCell ref="Q237:U237"/>
    <mergeCell ref="V237:Y237"/>
    <mergeCell ref="Q265:U265"/>
    <mergeCell ref="Z232:AD232"/>
    <mergeCell ref="V235:Y235"/>
    <mergeCell ref="AE219:AL219"/>
    <mergeCell ref="V236:Y236"/>
    <mergeCell ref="Q236:U236"/>
    <mergeCell ref="AE235:AH235"/>
    <mergeCell ref="AI235:AM235"/>
    <mergeCell ref="AI246:AM246"/>
    <mergeCell ref="AI238:AM238"/>
    <mergeCell ref="AM281:AQ281"/>
    <mergeCell ref="AE281:AL281"/>
    <mergeCell ref="AM280:AQ280"/>
    <mergeCell ref="AE282:AL282"/>
    <mergeCell ref="V265:AD265"/>
    <mergeCell ref="AE230:AH230"/>
    <mergeCell ref="V233:Y233"/>
    <mergeCell ref="AE236:AH236"/>
    <mergeCell ref="AE238:AH238"/>
    <mergeCell ref="AE239:AH239"/>
    <mergeCell ref="F201:AD201"/>
    <mergeCell ref="I200:N200"/>
    <mergeCell ref="AM216:AQ216"/>
    <mergeCell ref="Q238:U238"/>
    <mergeCell ref="V238:Y238"/>
    <mergeCell ref="AE232:AH232"/>
    <mergeCell ref="F213:Q214"/>
    <mergeCell ref="R218:Y218"/>
    <mergeCell ref="R200:Y200"/>
    <mergeCell ref="AI236:AM236"/>
    <mergeCell ref="G235:P235"/>
    <mergeCell ref="R214:Y214"/>
    <mergeCell ref="G216:P216"/>
    <mergeCell ref="AE214:AL214"/>
    <mergeCell ref="AI230:AM231"/>
    <mergeCell ref="G234:P234"/>
    <mergeCell ref="Q234:U234"/>
    <mergeCell ref="V234:Y234"/>
    <mergeCell ref="R215:Y215"/>
    <mergeCell ref="Z215:AD215"/>
    <mergeCell ref="Z219:AD219"/>
    <mergeCell ref="V230:Y230"/>
    <mergeCell ref="AE221:AL221"/>
    <mergeCell ref="AM220:AQ220"/>
    <mergeCell ref="G219:P219"/>
    <mergeCell ref="R219:Y219"/>
    <mergeCell ref="AE220:AL220"/>
    <mergeCell ref="G221:P221"/>
    <mergeCell ref="Z230:AD231"/>
    <mergeCell ref="G225:AP225"/>
    <mergeCell ref="Q233:U233"/>
    <mergeCell ref="G233:P233"/>
    <mergeCell ref="V232:Y232"/>
    <mergeCell ref="Z222:AD222"/>
    <mergeCell ref="AE231:AH231"/>
    <mergeCell ref="G222:P222"/>
    <mergeCell ref="R222:Y222"/>
    <mergeCell ref="F230:P231"/>
    <mergeCell ref="F232:F241"/>
    <mergeCell ref="Z234:AD234"/>
    <mergeCell ref="G220:P220"/>
    <mergeCell ref="R220:Y220"/>
    <mergeCell ref="R221:Y221"/>
    <mergeCell ref="Z220:AD220"/>
    <mergeCell ref="G232:P232"/>
    <mergeCell ref="V231:Y231"/>
    <mergeCell ref="Q232:U232"/>
    <mergeCell ref="R217:Y217"/>
    <mergeCell ref="R216:Y216"/>
    <mergeCell ref="G215:P215"/>
    <mergeCell ref="G218:P218"/>
    <mergeCell ref="Z218:AD218"/>
    <mergeCell ref="G217:P217"/>
    <mergeCell ref="Z217:AD217"/>
    <mergeCell ref="Z216:AD216"/>
    <mergeCell ref="R288:Y288"/>
    <mergeCell ref="F264:P265"/>
    <mergeCell ref="R281:Y281"/>
    <mergeCell ref="Z281:AD281"/>
    <mergeCell ref="Z283:AD283"/>
    <mergeCell ref="Z285:AD285"/>
    <mergeCell ref="Z284:AD284"/>
    <mergeCell ref="R282:Y282"/>
    <mergeCell ref="V264:AD264"/>
    <mergeCell ref="R285:Y285"/>
    <mergeCell ref="AM288:AQ288"/>
    <mergeCell ref="R290:Y290"/>
    <mergeCell ref="AM290:AQ290"/>
    <mergeCell ref="Z287:AD287"/>
    <mergeCell ref="Z286:AD286"/>
    <mergeCell ref="Z288:AD288"/>
    <mergeCell ref="R286:Y286"/>
    <mergeCell ref="Z290:AD290"/>
    <mergeCell ref="Z289:AD289"/>
    <mergeCell ref="AE288:AL288"/>
    <mergeCell ref="AM287:AQ287"/>
    <mergeCell ref="AM286:AQ286"/>
    <mergeCell ref="AI232:AM232"/>
    <mergeCell ref="Q230:U231"/>
    <mergeCell ref="R287:Y287"/>
    <mergeCell ref="AE287:AL287"/>
    <mergeCell ref="AE286:AL286"/>
    <mergeCell ref="AI234:AM234"/>
    <mergeCell ref="AE233:AH233"/>
    <mergeCell ref="Z233:AD233"/>
    <mergeCell ref="G237:P237"/>
    <mergeCell ref="G238:P238"/>
    <mergeCell ref="Z240:AD240"/>
    <mergeCell ref="V239:Y239"/>
    <mergeCell ref="Q235:U235"/>
    <mergeCell ref="Z239:AD239"/>
    <mergeCell ref="Z237:AD237"/>
    <mergeCell ref="G236:P236"/>
    <mergeCell ref="Z238:AD238"/>
    <mergeCell ref="Z236:AD236"/>
    <mergeCell ref="G240:P240"/>
    <mergeCell ref="Q240:U240"/>
    <mergeCell ref="V240:Y240"/>
    <mergeCell ref="Q239:U239"/>
    <mergeCell ref="G239:P239"/>
    <mergeCell ref="V248:Y248"/>
    <mergeCell ref="G244:P244"/>
    <mergeCell ref="Q247:U247"/>
    <mergeCell ref="V247:Y247"/>
    <mergeCell ref="G248:P248"/>
    <mergeCell ref="AI239:AM239"/>
    <mergeCell ref="Q241:U241"/>
    <mergeCell ref="AI242:AM242"/>
    <mergeCell ref="AI243:AM243"/>
    <mergeCell ref="AI240:AM240"/>
    <mergeCell ref="AE240:AH240"/>
    <mergeCell ref="AE242:AH242"/>
    <mergeCell ref="AE243:AH243"/>
    <mergeCell ref="AE241:AH241"/>
    <mergeCell ref="V242:Y242"/>
    <mergeCell ref="Q248:U248"/>
    <mergeCell ref="Q245:U245"/>
    <mergeCell ref="G245:P245"/>
    <mergeCell ref="G246:P246"/>
    <mergeCell ref="Q246:U246"/>
    <mergeCell ref="V246:Y246"/>
    <mergeCell ref="AI244:AM244"/>
    <mergeCell ref="AE245:AH245"/>
    <mergeCell ref="AI245:AM245"/>
    <mergeCell ref="V245:Y245"/>
    <mergeCell ref="AI241:AM241"/>
    <mergeCell ref="F242:F250"/>
    <mergeCell ref="G242:P242"/>
    <mergeCell ref="Q242:U242"/>
    <mergeCell ref="Z242:AD242"/>
    <mergeCell ref="Z245:AD245"/>
    <mergeCell ref="Q243:U243"/>
    <mergeCell ref="V244:Y244"/>
    <mergeCell ref="Z244:AD244"/>
    <mergeCell ref="AE244:AH244"/>
    <mergeCell ref="V241:Y241"/>
    <mergeCell ref="Z241:AD241"/>
    <mergeCell ref="V249:Y249"/>
    <mergeCell ref="Z249:AD249"/>
    <mergeCell ref="Z247:AD247"/>
    <mergeCell ref="Z246:AD246"/>
    <mergeCell ref="G247:P247"/>
    <mergeCell ref="G241:P241"/>
    <mergeCell ref="V243:Y243"/>
    <mergeCell ref="Z243:AD243"/>
    <mergeCell ref="Q244:U244"/>
    <mergeCell ref="G243:P243"/>
    <mergeCell ref="AE250:AH250"/>
    <mergeCell ref="AI250:AM250"/>
    <mergeCell ref="V251:Y251"/>
    <mergeCell ref="AI251:AM251"/>
    <mergeCell ref="AE251:AH251"/>
    <mergeCell ref="Z251:AD251"/>
    <mergeCell ref="V250:Y250"/>
    <mergeCell ref="Z250:AD250"/>
    <mergeCell ref="AM309:AQ309"/>
    <mergeCell ref="AM306:AQ306"/>
    <mergeCell ref="Z310:AD310"/>
    <mergeCell ref="AE309:AL309"/>
    <mergeCell ref="AE308:AL308"/>
    <mergeCell ref="AM291:AQ291"/>
    <mergeCell ref="AM292:AQ292"/>
    <mergeCell ref="AE292:AL292"/>
    <mergeCell ref="G297:AQ297"/>
    <mergeCell ref="R292:Y292"/>
    <mergeCell ref="AM305:AQ305"/>
    <mergeCell ref="AE307:AL307"/>
    <mergeCell ref="R303:AD303"/>
    <mergeCell ref="AE293:AL293"/>
    <mergeCell ref="R304:Y304"/>
    <mergeCell ref="AM304:AQ304"/>
    <mergeCell ref="R307:Y307"/>
    <mergeCell ref="AE303:AQ303"/>
    <mergeCell ref="G296:AQ296"/>
    <mergeCell ref="AE306:AL306"/>
    <mergeCell ref="Z307:AD307"/>
    <mergeCell ref="R310:Y310"/>
    <mergeCell ref="AE304:AL304"/>
    <mergeCell ref="R306:Y306"/>
    <mergeCell ref="AE305:AL305"/>
    <mergeCell ref="Z305:AD305"/>
    <mergeCell ref="Z308:AD308"/>
    <mergeCell ref="Z304:AD304"/>
    <mergeCell ref="Z309:AD309"/>
    <mergeCell ref="Z306:AD306"/>
    <mergeCell ref="N311:P311"/>
    <mergeCell ref="N309:P309"/>
    <mergeCell ref="AE290:AL290"/>
    <mergeCell ref="F279:Q280"/>
    <mergeCell ref="I292:N292"/>
    <mergeCell ref="F291:Q291"/>
    <mergeCell ref="I290:J290"/>
    <mergeCell ref="N290:P290"/>
    <mergeCell ref="I284:J284"/>
    <mergeCell ref="Z292:AD292"/>
    <mergeCell ref="AM308:AQ308"/>
    <mergeCell ref="AE311:AL311"/>
    <mergeCell ref="AE312:AL312"/>
    <mergeCell ref="AE310:AL310"/>
    <mergeCell ref="AM310:AQ310"/>
    <mergeCell ref="I310:J310"/>
    <mergeCell ref="N310:P310"/>
    <mergeCell ref="R311:Y311"/>
    <mergeCell ref="I309:J309"/>
    <mergeCell ref="I311:J311"/>
    <mergeCell ref="Z311:AD311"/>
    <mergeCell ref="AE321:AQ321"/>
    <mergeCell ref="AM312:AQ312"/>
    <mergeCell ref="AM322:AQ322"/>
    <mergeCell ref="AM311:AQ311"/>
    <mergeCell ref="R321:AD321"/>
    <mergeCell ref="R322:Y322"/>
    <mergeCell ref="AE322:AL322"/>
    <mergeCell ref="Z322:AD322"/>
    <mergeCell ref="Z312:AD312"/>
    <mergeCell ref="I326:J326"/>
    <mergeCell ref="N326:P326"/>
    <mergeCell ref="Z324:AD324"/>
    <mergeCell ref="R312:Y312"/>
    <mergeCell ref="I312:N312"/>
    <mergeCell ref="F321:Q322"/>
    <mergeCell ref="R325:Y325"/>
    <mergeCell ref="R324:Y324"/>
    <mergeCell ref="Z323:AD323"/>
    <mergeCell ref="R326:Y326"/>
    <mergeCell ref="I327:J327"/>
    <mergeCell ref="R323:Y323"/>
    <mergeCell ref="AM323:AQ323"/>
    <mergeCell ref="AE323:AL323"/>
    <mergeCell ref="Z326:AD326"/>
    <mergeCell ref="Z325:AD325"/>
    <mergeCell ref="AM325:AQ325"/>
    <mergeCell ref="AE325:AL325"/>
    <mergeCell ref="AM326:AQ326"/>
    <mergeCell ref="AM324:AQ324"/>
    <mergeCell ref="N329:P329"/>
    <mergeCell ref="Z329:AD329"/>
    <mergeCell ref="AM328:AQ328"/>
    <mergeCell ref="AE328:AL328"/>
    <mergeCell ref="AM327:AQ327"/>
    <mergeCell ref="Z327:AD327"/>
    <mergeCell ref="Z343:AD343"/>
    <mergeCell ref="G337:AQ337"/>
    <mergeCell ref="R343:Y343"/>
    <mergeCell ref="Z344:AD344"/>
    <mergeCell ref="AM345:AQ345"/>
    <mergeCell ref="AE344:AL344"/>
    <mergeCell ref="R344:Y344"/>
    <mergeCell ref="R345:Y345"/>
    <mergeCell ref="AE345:AL345"/>
    <mergeCell ref="I332:N332"/>
    <mergeCell ref="AE330:AL330"/>
    <mergeCell ref="AE327:AL327"/>
    <mergeCell ref="N330:P330"/>
    <mergeCell ref="Z331:AD331"/>
    <mergeCell ref="Z330:AD330"/>
    <mergeCell ref="I330:J330"/>
    <mergeCell ref="N327:P327"/>
    <mergeCell ref="Z328:AD328"/>
    <mergeCell ref="N328:P328"/>
    <mergeCell ref="AE348:AL348"/>
    <mergeCell ref="AE351:AL351"/>
    <mergeCell ref="G365:N365"/>
    <mergeCell ref="F333:AD333"/>
    <mergeCell ref="F342:Q343"/>
    <mergeCell ref="R342:AD342"/>
    <mergeCell ref="Z345:AD345"/>
    <mergeCell ref="G336:AQ336"/>
    <mergeCell ref="AE333:AL333"/>
    <mergeCell ref="AE342:AQ342"/>
    <mergeCell ref="G369:AQ370"/>
    <mergeCell ref="Z349:AD349"/>
    <mergeCell ref="AM352:AQ352"/>
    <mergeCell ref="X366:Y366"/>
    <mergeCell ref="X365:Y365"/>
    <mergeCell ref="R351:Y351"/>
    <mergeCell ref="Z350:AD350"/>
    <mergeCell ref="AE352:AL352"/>
    <mergeCell ref="R350:Y350"/>
    <mergeCell ref="Z352:AD352"/>
    <mergeCell ref="Z346:AD346"/>
    <mergeCell ref="F421:H421"/>
    <mergeCell ref="G346:H346"/>
    <mergeCell ref="AE350:AL350"/>
    <mergeCell ref="P362:Y363"/>
    <mergeCell ref="I351:J351"/>
    <mergeCell ref="X393:Z393"/>
    <mergeCell ref="I347:J347"/>
    <mergeCell ref="X364:Y364"/>
    <mergeCell ref="I350:J350"/>
    <mergeCell ref="H385:AO385"/>
    <mergeCell ref="H103:P103"/>
    <mergeCell ref="F413:H413"/>
    <mergeCell ref="I417:AO417"/>
    <mergeCell ref="F391:O392"/>
    <mergeCell ref="F395:O395"/>
    <mergeCell ref="F405:H405"/>
    <mergeCell ref="I405:AM405"/>
    <mergeCell ref="AE346:AL346"/>
    <mergeCell ref="P394:W394"/>
    <mergeCell ref="X41:AA41"/>
    <mergeCell ref="Q108:U108"/>
    <mergeCell ref="Q107:U107"/>
    <mergeCell ref="I102:O102"/>
    <mergeCell ref="Q102:U102"/>
    <mergeCell ref="V98:Y98"/>
    <mergeCell ref="H105:P105"/>
    <mergeCell ref="H104:P104"/>
    <mergeCell ref="V99:Y99"/>
    <mergeCell ref="G80:AQ80"/>
    <mergeCell ref="Z347:AD347"/>
    <mergeCell ref="AF27:AM27"/>
    <mergeCell ref="X29:AA30"/>
    <mergeCell ref="X39:Z39"/>
    <mergeCell ref="X40:Z40"/>
    <mergeCell ref="AC41:AJ41"/>
    <mergeCell ref="AB32:AN32"/>
    <mergeCell ref="AC39:AN39"/>
    <mergeCell ref="AC40:AN40"/>
    <mergeCell ref="Z101:AD101"/>
    <mergeCell ref="H44:AP44"/>
    <mergeCell ref="G67:AQ67"/>
    <mergeCell ref="Q101:U101"/>
    <mergeCell ref="Q100:U100"/>
    <mergeCell ref="G70:AQ71"/>
    <mergeCell ref="G74:AQ76"/>
    <mergeCell ref="I101:O101"/>
    <mergeCell ref="G68:AQ68"/>
    <mergeCell ref="AE100:AH100"/>
    <mergeCell ref="Q98:U98"/>
    <mergeCell ref="H387:AO388"/>
    <mergeCell ref="AM343:AQ343"/>
    <mergeCell ref="AM344:AQ344"/>
    <mergeCell ref="I107:O107"/>
    <mergeCell ref="H106:P106"/>
    <mergeCell ref="V103:Y103"/>
    <mergeCell ref="Q103:U103"/>
    <mergeCell ref="AM307:AQ307"/>
    <mergeCell ref="G271:AQ272"/>
    <mergeCell ref="R279:AD279"/>
    <mergeCell ref="AC35:AN36"/>
    <mergeCell ref="X35:AB36"/>
    <mergeCell ref="AI102:AM102"/>
    <mergeCell ref="AE105:AH105"/>
    <mergeCell ref="Z108:AD108"/>
    <mergeCell ref="Z107:AD107"/>
    <mergeCell ref="V108:Y108"/>
    <mergeCell ref="Z106:AD106"/>
    <mergeCell ref="AE98:AH98"/>
    <mergeCell ref="AI98:AM98"/>
    <mergeCell ref="H46:AP46"/>
    <mergeCell ref="AM289:AQ289"/>
    <mergeCell ref="J15:P15"/>
    <mergeCell ref="S15:Y15"/>
    <mergeCell ref="T17:AD17"/>
    <mergeCell ref="AB29:AQ30"/>
    <mergeCell ref="AB25:AQ26"/>
    <mergeCell ref="AE127:AL127"/>
    <mergeCell ref="AF22:AH22"/>
    <mergeCell ref="AK22:AN22"/>
    <mergeCell ref="Y22:AE22"/>
    <mergeCell ref="T18:AD18"/>
    <mergeCell ref="R159:AD159"/>
    <mergeCell ref="Q96:U97"/>
    <mergeCell ref="G79:AQ79"/>
    <mergeCell ref="G72:AQ72"/>
    <mergeCell ref="I100:O100"/>
    <mergeCell ref="V100:Y100"/>
    <mergeCell ref="G141:P141"/>
    <mergeCell ref="AM127:AQ127"/>
    <mergeCell ref="I287:J287"/>
    <mergeCell ref="I174:N174"/>
    <mergeCell ref="AJ175:AL175"/>
    <mergeCell ref="Z291:AD291"/>
    <mergeCell ref="I288:J288"/>
    <mergeCell ref="Q251:U251"/>
    <mergeCell ref="Q250:U250"/>
    <mergeCell ref="Z248:AD248"/>
    <mergeCell ref="G249:P249"/>
    <mergeCell ref="Q249:U249"/>
    <mergeCell ref="N167:P167"/>
    <mergeCell ref="N287:P287"/>
    <mergeCell ref="I286:J286"/>
    <mergeCell ref="AE291:AL291"/>
    <mergeCell ref="N165:P165"/>
    <mergeCell ref="H151:AP151"/>
    <mergeCell ref="I198:J198"/>
    <mergeCell ref="M196:N196"/>
    <mergeCell ref="I197:J197"/>
    <mergeCell ref="I195:J195"/>
    <mergeCell ref="Z280:AD280"/>
    <mergeCell ref="R289:Y289"/>
    <mergeCell ref="N289:P289"/>
    <mergeCell ref="G268:AQ270"/>
    <mergeCell ref="I285:J285"/>
    <mergeCell ref="N285:P285"/>
    <mergeCell ref="N284:P284"/>
    <mergeCell ref="R280:Y280"/>
    <mergeCell ref="Z282:AD282"/>
    <mergeCell ref="AE283:AL283"/>
    <mergeCell ref="F262:P263"/>
    <mergeCell ref="AE331:AL331"/>
    <mergeCell ref="Z332:AD332"/>
    <mergeCell ref="AE329:AL329"/>
    <mergeCell ref="R305:Y305"/>
    <mergeCell ref="R291:Y291"/>
    <mergeCell ref="F293:AD293"/>
    <mergeCell ref="H331:M331"/>
    <mergeCell ref="N331:P331"/>
    <mergeCell ref="I328:J328"/>
    <mergeCell ref="H255:AQ257"/>
    <mergeCell ref="H254:AQ254"/>
    <mergeCell ref="F251:P251"/>
    <mergeCell ref="R331:Y331"/>
    <mergeCell ref="I308:J308"/>
    <mergeCell ref="N308:P308"/>
    <mergeCell ref="R309:Y309"/>
    <mergeCell ref="R308:Y308"/>
    <mergeCell ref="R329:Y329"/>
    <mergeCell ref="R330:Y330"/>
    <mergeCell ref="AM283:AQ283"/>
    <mergeCell ref="AM332:AQ332"/>
    <mergeCell ref="AM330:AQ330"/>
    <mergeCell ref="R332:Y332"/>
    <mergeCell ref="AM331:AQ331"/>
    <mergeCell ref="R327:Y327"/>
    <mergeCell ref="R328:Y328"/>
    <mergeCell ref="AM329:AQ329"/>
    <mergeCell ref="AE326:AL326"/>
    <mergeCell ref="AE324:AL324"/>
    <mergeCell ref="F362:O363"/>
    <mergeCell ref="Z351:AD351"/>
    <mergeCell ref="N347:P347"/>
    <mergeCell ref="AE343:AL343"/>
    <mergeCell ref="I348:J348"/>
    <mergeCell ref="I349:J349"/>
    <mergeCell ref="R349:Y349"/>
    <mergeCell ref="R348:Y348"/>
    <mergeCell ref="Z348:AD348"/>
    <mergeCell ref="N348:P348"/>
    <mergeCell ref="P380:W380"/>
    <mergeCell ref="F425:H425"/>
    <mergeCell ref="P391:Z392"/>
    <mergeCell ref="G366:N366"/>
    <mergeCell ref="I352:N352"/>
    <mergeCell ref="P364:W364"/>
    <mergeCell ref="X380:Z380"/>
    <mergeCell ref="G373:AQ373"/>
    <mergeCell ref="P377:Z378"/>
    <mergeCell ref="P379:W379"/>
    <mergeCell ref="X379:Z379"/>
    <mergeCell ref="X394:Z394"/>
    <mergeCell ref="I413:AO413"/>
    <mergeCell ref="F424:H424"/>
    <mergeCell ref="G381:N381"/>
    <mergeCell ref="F423:H423"/>
    <mergeCell ref="F419:H419"/>
    <mergeCell ref="I423:AO423"/>
    <mergeCell ref="I420:AO420"/>
    <mergeCell ref="I419:AO419"/>
    <mergeCell ref="X381:Z381"/>
    <mergeCell ref="I415:AO415"/>
    <mergeCell ref="F432:AO432"/>
    <mergeCell ref="F431:AO431"/>
    <mergeCell ref="F430:M430"/>
    <mergeCell ref="I424:AO424"/>
    <mergeCell ref="F428:AO428"/>
    <mergeCell ref="F427:AO427"/>
    <mergeCell ref="F426:H426"/>
    <mergeCell ref="I426:AO426"/>
    <mergeCell ref="I425:AO425"/>
    <mergeCell ref="I422:AO422"/>
    <mergeCell ref="I421:AO421"/>
    <mergeCell ref="G408:AO409"/>
    <mergeCell ref="H401:AO401"/>
    <mergeCell ref="F415:H415"/>
    <mergeCell ref="F422:H422"/>
    <mergeCell ref="I416:AO416"/>
    <mergeCell ref="F417:H417"/>
    <mergeCell ref="F414:H414"/>
    <mergeCell ref="X395:Z395"/>
    <mergeCell ref="F418:H418"/>
    <mergeCell ref="F416:H416"/>
    <mergeCell ref="F420:H420"/>
    <mergeCell ref="I418:AO418"/>
    <mergeCell ref="P395:W395"/>
    <mergeCell ref="I414:AO414"/>
    <mergeCell ref="H386:AO386"/>
    <mergeCell ref="H384:AO384"/>
    <mergeCell ref="G379:N379"/>
    <mergeCell ref="G380:N380"/>
    <mergeCell ref="G371:AQ372"/>
    <mergeCell ref="G394:N394"/>
    <mergeCell ref="P381:W381"/>
    <mergeCell ref="G393:N393"/>
    <mergeCell ref="P393:W393"/>
    <mergeCell ref="F377:O378"/>
    <mergeCell ref="P366:W366"/>
    <mergeCell ref="P365:W365"/>
    <mergeCell ref="AZ160:BA160"/>
    <mergeCell ref="R352:Y352"/>
    <mergeCell ref="R283:Y283"/>
    <mergeCell ref="F303:Q304"/>
    <mergeCell ref="G206:AQ208"/>
    <mergeCell ref="G364:N364"/>
    <mergeCell ref="AE332:AL332"/>
    <mergeCell ref="R347:Y347"/>
    <mergeCell ref="BH122:BI122"/>
    <mergeCell ref="Z96:AD97"/>
    <mergeCell ref="AZ97:BA97"/>
    <mergeCell ref="F103:G107"/>
    <mergeCell ref="AM351:AQ351"/>
    <mergeCell ref="R346:Y346"/>
    <mergeCell ref="N349:P349"/>
    <mergeCell ref="N350:P350"/>
    <mergeCell ref="N351:P351"/>
    <mergeCell ref="M197:N197"/>
    <mergeCell ref="BF73:BG73"/>
    <mergeCell ref="BH73:BI73"/>
    <mergeCell ref="BD97:BE97"/>
    <mergeCell ref="BH160:BI160"/>
    <mergeCell ref="BH97:BI97"/>
    <mergeCell ref="BF97:BG97"/>
    <mergeCell ref="BD122:BE122"/>
    <mergeCell ref="BF122:BG122"/>
    <mergeCell ref="BD160:BE160"/>
    <mergeCell ref="BF160:BG160"/>
    <mergeCell ref="BD73:BE73"/>
    <mergeCell ref="BB97:BC97"/>
    <mergeCell ref="AZ73:BA73"/>
    <mergeCell ref="BB73:BC73"/>
    <mergeCell ref="G73:AQ73"/>
    <mergeCell ref="Q99:U99"/>
    <mergeCell ref="AE99:AH99"/>
    <mergeCell ref="Z99:AD99"/>
    <mergeCell ref="AI99:AM99"/>
    <mergeCell ref="Z98:AD98"/>
    <mergeCell ref="AE128:AL128"/>
    <mergeCell ref="I99:O99"/>
    <mergeCell ref="AZ122:BA122"/>
    <mergeCell ref="BB122:BC122"/>
    <mergeCell ref="G205:AQ205"/>
    <mergeCell ref="Z200:AD200"/>
    <mergeCell ref="AM126:AQ126"/>
    <mergeCell ref="M198:N198"/>
    <mergeCell ref="I169:J169"/>
    <mergeCell ref="I166:J166"/>
    <mergeCell ref="AI201:AK201"/>
    <mergeCell ref="AE192:AL192"/>
    <mergeCell ref="BH304:BI304"/>
    <mergeCell ref="AZ322:BA322"/>
    <mergeCell ref="BB322:BC322"/>
    <mergeCell ref="BD322:BE322"/>
    <mergeCell ref="BF322:BG322"/>
    <mergeCell ref="BH322:BI322"/>
    <mergeCell ref="BF304:BG304"/>
    <mergeCell ref="AZ304:BA304"/>
    <mergeCell ref="BB304:BC304"/>
    <mergeCell ref="BH343:BI343"/>
    <mergeCell ref="AZ362:BA362"/>
    <mergeCell ref="BB362:BC362"/>
    <mergeCell ref="BD362:BE362"/>
    <mergeCell ref="BF362:BG362"/>
    <mergeCell ref="BH362:BI362"/>
    <mergeCell ref="AZ343:BA343"/>
    <mergeCell ref="BB343:BC343"/>
    <mergeCell ref="G209:AQ209"/>
    <mergeCell ref="G204:AQ204"/>
    <mergeCell ref="AE279:AQ279"/>
    <mergeCell ref="N288:P288"/>
    <mergeCell ref="AM214:AQ214"/>
    <mergeCell ref="BB160:BC160"/>
    <mergeCell ref="AE213:AQ213"/>
    <mergeCell ref="AM197:AQ197"/>
    <mergeCell ref="Q262:U263"/>
    <mergeCell ref="V262:AD263"/>
    <mergeCell ref="AI106:AM106"/>
    <mergeCell ref="BD343:BE343"/>
    <mergeCell ref="BF343:BG343"/>
    <mergeCell ref="AT413:AT426"/>
    <mergeCell ref="H111:AM112"/>
    <mergeCell ref="F108:P108"/>
    <mergeCell ref="BD304:BE304"/>
    <mergeCell ref="G250:P250"/>
    <mergeCell ref="I289:J289"/>
    <mergeCell ref="N286:P286"/>
  </mergeCells>
  <conditionalFormatting sqref="AZ99:AZ108 BB99:BB108 BD99:BD108 BF99:BF108 BH99:BH108 AZ162:AZ174 BB162:BB174 BD162:BD174 BF162:BF174 BH162:BH174 AZ193:AZ201 BB193:BB201 BD193:BD201 BF193:BF201 BH193:BH201 AZ216:AZ222 BB216:BB222 BD216:BD222 BF216:BF222 BH216:BH222 AZ233:AZ251 BB233:BB251 BD233:BD251 BF233:BF251 BH233:BH251 AZ265 BB265 BD265 BF265 BH265 AZ282:AZ292 BB282:BB292 BD282:BD292 BF282:BF292 BH282:BH292 AZ306:AZ312 BB306:BB312 BD306:BD312 BF306:BF312 BH306:BH312 AZ345:AZ352 BB345:BB352 BD345:BD352 BF345:BF352 BH345:BH352 AZ124:AZ141 BB124:BB141 BD124:BD141 BF124:BF141 BH124:BH141 BH364:BH369 BB364:BB369 BD364:BD369 BF364:BF369 AZ364:AZ369">
    <cfRule type="expression" priority="121" dxfId="44" stopIfTrue="1">
      <formula>BA99&lt;&gt;""</formula>
    </cfRule>
  </conditionalFormatting>
  <conditionalFormatting sqref="AZ425">
    <cfRule type="expression" priority="57" dxfId="42" stopIfTrue="1">
      <formula>MID($AF$22,2,1)="N"</formula>
    </cfRule>
  </conditionalFormatting>
  <conditionalFormatting sqref="AI241 AI250:AI251">
    <cfRule type="expression" priority="136" dxfId="45" stopIfTrue="1">
      <formula>AND($Q$233:$U$240="",$Q$242:$U$249="",$Z$233:$AD$240="",$Z$242:$AD$249="",$AI$233:$AM$240="",$AI$242:$AM$249="")</formula>
    </cfRule>
  </conditionalFormatting>
  <conditionalFormatting sqref="AM282:AQ291 Z282:AD291">
    <cfRule type="cellIs" priority="40" dxfId="46" operator="greaterThan" stopIfTrue="1">
      <formula>100</formula>
    </cfRule>
    <cfRule type="expression" priority="135" dxfId="45" stopIfTrue="1">
      <formula>AND($R$282:$Y$292="",$AE$282:$AL$292="")</formula>
    </cfRule>
  </conditionalFormatting>
  <conditionalFormatting sqref="AM324:AQ331 Z324:AD331">
    <cfRule type="cellIs" priority="32" dxfId="46" operator="greaterThan" stopIfTrue="1">
      <formula>100</formula>
    </cfRule>
    <cfRule type="expression" priority="133" dxfId="45" stopIfTrue="1">
      <formula>AND($R$324:$Y$332="",$AE$324:$AL$332="")</formula>
    </cfRule>
  </conditionalFormatting>
  <conditionalFormatting sqref="AM345:AQ351 Z345:AD351">
    <cfRule type="cellIs" priority="28" dxfId="46" operator="greaterThan" stopIfTrue="1">
      <formula>100</formula>
    </cfRule>
    <cfRule type="expression" priority="132" dxfId="45" stopIfTrue="1">
      <formula>AND($R$345:$Y$352="",$AE$345:$AL$352="")</formula>
    </cfRule>
  </conditionalFormatting>
  <conditionalFormatting sqref="P366:W366">
    <cfRule type="expression" priority="126" dxfId="45" stopIfTrue="1">
      <formula>AND($P$364:$W$365="")</formula>
    </cfRule>
  </conditionalFormatting>
  <conditionalFormatting sqref="AM162:AM173 AN162:AQ162 AN173:AQ173 Z162:AD173">
    <cfRule type="cellIs" priority="81" dxfId="46" operator="greaterThan" stopIfTrue="1">
      <formula>100</formula>
    </cfRule>
    <cfRule type="expression" priority="82" dxfId="45" stopIfTrue="1">
      <formula>AND($R$162:$Y$174="",$AE$162:$AL$174="")</formula>
    </cfRule>
  </conditionalFormatting>
  <conditionalFormatting sqref="AM193:AQ199 Z193:AD199">
    <cfRule type="cellIs" priority="67" dxfId="46" operator="greaterThan" stopIfTrue="1">
      <formula>100</formula>
    </cfRule>
    <cfRule type="expression" priority="68" dxfId="45" stopIfTrue="1">
      <formula>AND($R$193:$Y$200="",$AE$193:$AL$200="")</formula>
    </cfRule>
  </conditionalFormatting>
  <conditionalFormatting sqref="AM216:AQ221 Z216:AD221">
    <cfRule type="cellIs" priority="62" dxfId="46" operator="greaterThan" stopIfTrue="1">
      <formula>100</formula>
    </cfRule>
    <cfRule type="expression" priority="63" dxfId="45" stopIfTrue="1">
      <formula>AND($R$216:$Y$222="",$AE$216:$AL$222="")</formula>
    </cfRule>
  </conditionalFormatting>
  <conditionalFormatting sqref="AE233:AH250 V233:Y250">
    <cfRule type="cellIs" priority="55" dxfId="46" operator="greaterThan" stopIfTrue="1">
      <formula>100</formula>
    </cfRule>
    <cfRule type="expression" priority="56" dxfId="45" stopIfTrue="1">
      <formula>AND($Q$233:$U$251="",$Z$233:$AD$251="",$AI$233:$AM$240="",$AI$242:$AM$249="")</formula>
    </cfRule>
  </conditionalFormatting>
  <conditionalFormatting sqref="AM306:AQ311 Z306:AD311">
    <cfRule type="cellIs" priority="36" dxfId="46" operator="greaterThan" stopIfTrue="1">
      <formula>100</formula>
    </cfRule>
    <cfRule type="expression" priority="37" dxfId="45" stopIfTrue="1">
      <formula>AND($R$306:$Y$312="",$AE$306:$AL$312="")</formula>
    </cfRule>
  </conditionalFormatting>
  <conditionalFormatting sqref="AE333:AL333">
    <cfRule type="expression" priority="31" dxfId="45" stopIfTrue="1">
      <formula>AND($R$324:$Y$332="",$AE$324:$AL$332="")</formula>
    </cfRule>
  </conditionalFormatting>
  <conditionalFormatting sqref="AZ324:AZ332 BB324:BB332 BD324:BD332 BF324:BF332 BH324:BH332">
    <cfRule type="expression" priority="21" dxfId="44" stopIfTrue="1">
      <formula>$BA$324&lt;&gt;""</formula>
    </cfRule>
  </conditionalFormatting>
  <conditionalFormatting sqref="Z124:AD140 AM124:AQ140">
    <cfRule type="cellIs" priority="72" dxfId="46" operator="greaterThan" stopIfTrue="1">
      <formula>100</formula>
    </cfRule>
    <cfRule type="expression" priority="73" dxfId="45" stopIfTrue="1">
      <formula>AND($R$124:$Y$141="",$AE$124:$AL$141="")</formula>
    </cfRule>
  </conditionalFormatting>
  <conditionalFormatting sqref="V99:Y107 AE99:AH107">
    <cfRule type="cellIs" priority="70" dxfId="46" operator="greaterThan" stopIfTrue="1">
      <formula>100</formula>
    </cfRule>
    <cfRule type="expression" priority="71" dxfId="45" stopIfTrue="1">
      <formula>AND($Q$99:$U$108="",$Z$99:$AD$108="",$AI$99:$AM$101="",$AI$103:$AM$106="")</formula>
    </cfRule>
  </conditionalFormatting>
  <conditionalFormatting sqref="AI102 AI107:AI108">
    <cfRule type="expression" priority="69" dxfId="45" stopIfTrue="1">
      <formula>AND($Q$99:$U$108="",$Z$99:$AD$108="",$AI$99:$AM$101="",$AI$103:$AM$106="")</formula>
    </cfRule>
  </conditionalFormatting>
  <conditionalFormatting sqref="P381:W381">
    <cfRule type="expression" priority="164" dxfId="47" stopIfTrue="1">
      <formula>$P$379:$W$380=""</formula>
    </cfRule>
  </conditionalFormatting>
  <conditionalFormatting sqref="P395:W395">
    <cfRule type="expression" priority="165" dxfId="47" stopIfTrue="1">
      <formula>$P$393:$W$394=""</formula>
    </cfRule>
  </conditionalFormatting>
  <conditionalFormatting sqref="F10:L10">
    <cfRule type="expression" priority="17" dxfId="0" stopIfTrue="1">
      <formula>OR($F$10="財務（支）局長",$F$10="")</formula>
    </cfRule>
  </conditionalFormatting>
  <conditionalFormatting sqref="T17:AD17">
    <cfRule type="expression" priority="14" dxfId="0" stopIfTrue="1">
      <formula>$T$17=""</formula>
    </cfRule>
  </conditionalFormatting>
  <conditionalFormatting sqref="T18:AD18">
    <cfRule type="expression" priority="13" dxfId="0" stopIfTrue="1">
      <formula>$T$18=""</formula>
    </cfRule>
  </conditionalFormatting>
  <conditionalFormatting sqref="AK22:AN22">
    <cfRule type="expression" priority="12" dxfId="0" stopIfTrue="1">
      <formula>$AK$22=""</formula>
    </cfRule>
  </conditionalFormatting>
  <conditionalFormatting sqref="AF22:AH22">
    <cfRule type="expression" priority="11" dxfId="0" stopIfTrue="1">
      <formula>$AF$22="(　　 )"</formula>
    </cfRule>
  </conditionalFormatting>
  <conditionalFormatting sqref="AB24:AE24">
    <cfRule type="expression" priority="10" dxfId="0" stopIfTrue="1">
      <formula>$AB$24=""</formula>
    </cfRule>
  </conditionalFormatting>
  <conditionalFormatting sqref="AB25:AQ26">
    <cfRule type="expression" priority="9" dxfId="0" stopIfTrue="1">
      <formula>$AB$25=""</formula>
    </cfRule>
  </conditionalFormatting>
  <conditionalFormatting sqref="AF27:AM27">
    <cfRule type="expression" priority="8" dxfId="0" stopIfTrue="1">
      <formula>$AF$27="(  　　　 ) 　　　  -   "</formula>
    </cfRule>
  </conditionalFormatting>
  <conditionalFormatting sqref="AB29:AQ30">
    <cfRule type="expression" priority="7" dxfId="0" stopIfTrue="1">
      <formula>$AB$29=""</formula>
    </cfRule>
  </conditionalFormatting>
  <conditionalFormatting sqref="AB32:AN32">
    <cfRule type="expression" priority="6" dxfId="0" stopIfTrue="1">
      <formula>$AB$32=""</formula>
    </cfRule>
  </conditionalFormatting>
  <conditionalFormatting sqref="AC39:AN39">
    <cfRule type="expression" priority="5" dxfId="0" stopIfTrue="1">
      <formula>$AC$39=""</formula>
    </cfRule>
  </conditionalFormatting>
  <conditionalFormatting sqref="AC40:AN40">
    <cfRule type="expression" priority="4" dxfId="0" stopIfTrue="1">
      <formula>$AC$40=""</formula>
    </cfRule>
  </conditionalFormatting>
  <conditionalFormatting sqref="AC41:AJ41">
    <cfRule type="expression" priority="3" dxfId="0" stopIfTrue="1">
      <formula>$AC$41="(  　   )        -  "</formula>
    </cfRule>
  </conditionalFormatting>
  <conditionalFormatting sqref="J15:P15">
    <cfRule type="expression" priority="2" dxfId="0" stopIfTrue="1">
      <formula>$J$15=""</formula>
    </cfRule>
  </conditionalFormatting>
  <conditionalFormatting sqref="S15:Y15">
    <cfRule type="expression" priority="1" dxfId="0" stopIfTrue="1">
      <formula>$J$15=""</formula>
    </cfRule>
  </conditionalFormatting>
  <dataValidations count="23">
    <dataValidation type="custom" allowBlank="1" showInputMessage="1" showErrorMessage="1" sqref="P393:W393 AE141:AL141 AE193:AL200 V265:AD265 AE216:AL222 Z233:AD251 AE282:AL292 AE138:AL138 AE306:AL312 AE324:AL332 AE345:AL352 P379:W379 AE162:AL162 AE174:AL174">
      <formula1>OR(AND(0&lt;=P393,P393&lt;1000000000),P393="-")</formula1>
    </dataValidation>
    <dataValidation type="custom" allowBlank="1" showInputMessage="1" showErrorMessage="1" sqref="P394:W394 P364:W365 R141:Y141 P380:W380 R193:Y200 R216:Y222 Q233:U251 Q265:U265 R282:Y292 R306:Y312 R324:Y332 R345:Y352 R174:Y174">
      <formula1>OR(AND(0&lt;P394,P394&lt;100000000),P394="-")</formula1>
    </dataValidation>
    <dataValidation type="list" allowBlank="1" showInputMessage="1" showErrorMessage="1" sqref="F413:H426">
      <formula1>$AZ$404:$AZ$405</formula1>
    </dataValidation>
    <dataValidation type="custom" allowBlank="1" showInputMessage="1" showErrorMessage="1" sqref="AI242:AM249 AI233:AM240">
      <formula1>OR(AND(0&lt;=AI242,AI242&lt;1000),AI242="-")</formula1>
    </dataValidation>
    <dataValidation type="whole" allowBlank="1" showInputMessage="1" showErrorMessage="1" sqref="E96">
      <formula1>0</formula1>
      <formula2>3</formula2>
    </dataValidation>
    <dataValidation type="custom" allowBlank="1" showInputMessage="1" showErrorMessage="1" errorTitle="入力エラー" error="　「1」以上の整数を入力して下さい。&#10;　貸付実績（件数）がない場合は、「-」を入力して下さい（「0」は入力できません）。" imeMode="off" sqref="Q108:U108 Q99:U101 Q103:U106">
      <formula1>OR(AND(0&lt;Q108,Q108&lt;100000000),Q108="-")</formula1>
    </dataValidation>
    <dataValidation type="list" allowBlank="1" showInputMessage="1" promptTitle="登録更新回数を入力してください" prompt="◆登録回数を記入（ドロップダウンリストから選択して下さい。）。&#10;尚、登録番号の括弧書を省略する場合は（）の部分を削除してください。&#10;★手入力もできます。&#10;※( 　)書きには、登録回数が入ります。&#10;　なお、日賦貸金業者にあっては&quot;N&quot;が&#10;　登録回数の前に入ります（例：(N1)）。" sqref="AF22:AH22">
      <formula1>$BB$2:$BB$32</formula1>
    </dataValidation>
    <dataValidation type="custom" allowBlank="1" showInputMessage="1" sqref="AH201">
      <formula1>OR(AND(0&lt;=AH201,AH201&lt;100),AH201="-")</formula1>
    </dataValidation>
    <dataValidation allowBlank="1" showInputMessage="1" sqref="AE201:AG201"/>
    <dataValidation allowBlank="1" showInputMessage="1" showErrorMessage="1" imeMode="off" sqref="AC41:AJ41 AF27:AM27"/>
    <dataValidation type="custom" allowBlank="1" showInputMessage="1" errorTitle="入力エラー" error="　「1」以上の整数を入力して下さい。&#10;　貸付実績（件数）がない場合は、「-」を入力して下さい（「0」は入力できません）。" imeMode="off" sqref="Q102:U102 Q107:U107">
      <formula1>OR(AND(0&lt;Q102,Q102&lt;100000000),Q102="-")</formula1>
    </dataValidation>
    <dataValidation type="custom" allowBlank="1" showInputMessage="1" sqref="Z102:AD102">
      <formula1>OR(AND(0&lt;=Z102,Z102&lt;1000000000),Z102="-")</formula1>
    </dataValidation>
    <dataValidation allowBlank="1" showErrorMessage="1" sqref="AI202 T17:AD18"/>
    <dataValidation allowBlank="1" showInputMessage="1" showErrorMessage="1" promptTitle="「月数」を入力してください（小数点第２位まで）。" prompt="◆「月数」を入力してください。（小数点第２位まで）&#10;　 例：月数欄・・・「27」と入力　⇒　27月（表示）&#10;　　　　年数欄・・・「2.25」（自動計算結果が表示される）&#10;&#10;※月数を入力すると「年数」欄に結果が自動的に表示&#10;   されます。" imeMode="off" sqref="AI201:AK201"/>
    <dataValidation type="textLength" allowBlank="1" showInputMessage="1" showErrorMessage="1" sqref="AK22:AN22">
      <formula1>4</formula1>
      <formula2>5</formula2>
    </dataValidation>
    <dataValidation allowBlank="1" imeMode="hiragana" sqref="AI22"/>
    <dataValidation type="custom" allowBlank="1" showInputMessage="1" showErrorMessage="1" imeMode="off" sqref="Z99:AD101 Z103:AD106 AE124:AL137 AE139:AL140 R166:Y166 AE163:AL173">
      <formula1>OR(AND(0&lt;=Z99,Z99&lt;1000000000),Z99="-")</formula1>
    </dataValidation>
    <dataValidation type="custom" allowBlank="1" showInputMessage="1" imeMode="off" sqref="Z107:AD108">
      <formula1>OR(AND(0&lt;=Z107,Z107&lt;1000000000),Z107="-")</formula1>
    </dataValidation>
    <dataValidation type="custom" allowBlank="1" showInputMessage="1" showErrorMessage="1" imeMode="off" sqref="AI99:AM101 AI103:AM106">
      <formula1>OR(AND(0&lt;=AI99,AI99&lt;1000),AI99="-")</formula1>
    </dataValidation>
    <dataValidation type="custom" allowBlank="1" showInputMessage="1" showErrorMessage="1" imeMode="off" sqref="R124:Y140 R162:Y165 R167:Y173">
      <formula1>OR(AND(0&lt;R124,R124&lt;100000000),R124="-")</formula1>
    </dataValidation>
    <dataValidation type="list" allowBlank="1" showInputMessage="1" showErrorMessage="1" sqref="F10:L10">
      <formula1>$EK$1:$EK$71</formula1>
    </dataValidation>
    <dataValidation type="list" allowBlank="1" showInputMessage="1" sqref="Y22:AE22">
      <formula1>$EK$2:$EK$68</formula1>
    </dataValidation>
    <dataValidation type="list" showDropDown="1" showInputMessage="1" showErrorMessage="1" sqref="F405:H405">
      <formula1>$AZ$404:$AZ$405</formula1>
    </dataValidation>
  </dataValidations>
  <printOptions/>
  <pageMargins left="0.7086614173228347" right="0.5511811023622047" top="0.6692913385826772" bottom="0.5118110236220472" header="0.5118110236220472" footer="0.2362204724409449"/>
  <pageSetup horizontalDpi="600" verticalDpi="600" orientation="portrait" paperSize="9" r:id="rId4"/>
  <headerFooter alignWithMargins="0">
    <oddFooter>&amp;L&amp;"ＭＳ ゴシック,標準"&amp;10（&amp;KFF000020201223&amp;K000000－業務報告書〔千円〕）&amp;R&amp;"ＭＳ ゴシック,標準"&amp;10【&amp;P／&amp;N】</oddFooter>
  </headerFooter>
  <rowBreaks count="11" manualBreakCount="11">
    <brk id="42" max="255" man="1"/>
    <brk id="92" max="255" man="1"/>
    <brk id="117" max="255" man="1"/>
    <brk id="155" max="255" man="1"/>
    <brk id="209" max="255" man="1"/>
    <brk id="226" max="255" man="1"/>
    <brk id="258" max="255" man="1"/>
    <brk id="275" max="255" man="1"/>
    <brk id="317" max="255" man="1"/>
    <brk id="357" max="255" man="1"/>
    <brk id="409" max="255" man="1"/>
  </rowBreaks>
  <ignoredErrors>
    <ignoredError sqref="F48:F59 G144:G152 G398:G401 H345 G346 H347:H351 M346:M350 H324:H330 M325:M330 H306:H311 M307:M310 H282:H290 M283:M290 H194:H199 L194:L198 H162:H172 M163:M172 G111:G115 G154 G384:G385 G386:G388"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AG57"/>
  <sheetViews>
    <sheetView zoomScalePageLayoutView="0" workbookViewId="0" topLeftCell="A1">
      <selection activeCell="AB2" sqref="AB2:AF2"/>
    </sheetView>
  </sheetViews>
  <sheetFormatPr defaultColWidth="9.00390625" defaultRowHeight="13.5"/>
  <cols>
    <col min="1" max="59" width="2.875" style="74" customWidth="1"/>
    <col min="60" max="16384" width="9.00390625" style="74" customWidth="1"/>
  </cols>
  <sheetData>
    <row r="2" spans="2:32" ht="17.25">
      <c r="B2" s="265" t="s">
        <v>479</v>
      </c>
      <c r="C2" s="265"/>
      <c r="D2" s="265"/>
      <c r="E2" s="265"/>
      <c r="F2" s="265"/>
      <c r="G2" s="265"/>
      <c r="H2" s="265"/>
      <c r="I2" s="265"/>
      <c r="J2" s="265"/>
      <c r="K2" s="265"/>
      <c r="L2" s="265"/>
      <c r="M2" s="265"/>
      <c r="N2" s="265"/>
      <c r="O2" s="265"/>
      <c r="AB2" s="728" t="s">
        <v>349</v>
      </c>
      <c r="AC2" s="728"/>
      <c r="AD2" s="728"/>
      <c r="AE2" s="728"/>
      <c r="AF2" s="728"/>
    </row>
    <row r="3" spans="28:32" ht="13.5" customHeight="1">
      <c r="AB3" s="728" t="s">
        <v>350</v>
      </c>
      <c r="AC3" s="728"/>
      <c r="AD3" s="728"/>
      <c r="AE3" s="728"/>
      <c r="AF3" s="728"/>
    </row>
    <row r="4" spans="2:26" ht="13.5">
      <c r="B4" s="76"/>
      <c r="C4" s="77"/>
      <c r="D4" s="77"/>
      <c r="E4" s="77"/>
      <c r="F4" s="77"/>
      <c r="G4" s="77"/>
      <c r="H4" s="77"/>
      <c r="I4" s="77"/>
      <c r="J4" s="77"/>
      <c r="K4" s="77"/>
      <c r="L4" s="77"/>
      <c r="M4" s="77"/>
      <c r="N4" s="77"/>
      <c r="O4" s="77"/>
      <c r="P4" s="77"/>
      <c r="Q4" s="77"/>
      <c r="R4" s="77"/>
      <c r="S4" s="77"/>
      <c r="T4" s="77"/>
      <c r="U4" s="77"/>
      <c r="V4" s="77"/>
      <c r="W4" s="77"/>
      <c r="X4" s="77"/>
      <c r="Y4" s="77"/>
      <c r="Z4" s="78"/>
    </row>
    <row r="5" spans="2:26" ht="13.5">
      <c r="B5" s="79"/>
      <c r="C5" s="80"/>
      <c r="D5" s="80"/>
      <c r="E5" s="80"/>
      <c r="F5" s="80"/>
      <c r="G5" s="80"/>
      <c r="H5" s="80"/>
      <c r="I5" s="80"/>
      <c r="J5" s="80"/>
      <c r="K5" s="80"/>
      <c r="L5" s="80"/>
      <c r="M5" s="80"/>
      <c r="N5" s="685" t="s">
        <v>338</v>
      </c>
      <c r="O5" s="686"/>
      <c r="P5" s="686"/>
      <c r="Q5" s="687"/>
      <c r="R5" s="80"/>
      <c r="S5" s="80"/>
      <c r="T5" s="80"/>
      <c r="U5" s="80"/>
      <c r="V5" s="685" t="s">
        <v>339</v>
      </c>
      <c r="W5" s="686"/>
      <c r="X5" s="686"/>
      <c r="Y5" s="687"/>
      <c r="Z5" s="81"/>
    </row>
    <row r="6" spans="2:26" ht="13.5">
      <c r="B6" s="79"/>
      <c r="C6" s="82" t="s">
        <v>340</v>
      </c>
      <c r="D6" s="80"/>
      <c r="E6" s="80"/>
      <c r="F6" s="80"/>
      <c r="G6" s="80"/>
      <c r="H6" s="80"/>
      <c r="I6" s="80"/>
      <c r="J6" s="80"/>
      <c r="K6" s="80"/>
      <c r="L6" s="80"/>
      <c r="M6" s="83"/>
      <c r="N6" s="688"/>
      <c r="O6" s="689"/>
      <c r="P6" s="689"/>
      <c r="Q6" s="690"/>
      <c r="R6" s="80"/>
      <c r="S6" s="80"/>
      <c r="T6" s="80"/>
      <c r="U6" s="80"/>
      <c r="V6" s="688"/>
      <c r="W6" s="689"/>
      <c r="X6" s="689"/>
      <c r="Y6" s="690"/>
      <c r="Z6" s="81"/>
    </row>
    <row r="7" spans="2:26" ht="13.5">
      <c r="B7" s="79"/>
      <c r="C7" s="80"/>
      <c r="D7" s="80"/>
      <c r="E7" s="80"/>
      <c r="F7" s="80"/>
      <c r="G7" s="80"/>
      <c r="H7" s="80"/>
      <c r="I7" s="80"/>
      <c r="J7" s="80"/>
      <c r="K7" s="80"/>
      <c r="L7" s="80"/>
      <c r="M7" s="80"/>
      <c r="N7" s="80"/>
      <c r="O7" s="80"/>
      <c r="P7" s="84"/>
      <c r="Q7" s="80"/>
      <c r="R7" s="80"/>
      <c r="S7" s="80"/>
      <c r="T7" s="80"/>
      <c r="U7" s="80"/>
      <c r="V7" s="80"/>
      <c r="W7" s="83"/>
      <c r="X7" s="80"/>
      <c r="Y7" s="80"/>
      <c r="Z7" s="81"/>
    </row>
    <row r="8" spans="2:26" ht="13.5">
      <c r="B8" s="79"/>
      <c r="C8" s="80"/>
      <c r="D8" s="80"/>
      <c r="E8" s="80"/>
      <c r="F8" s="80"/>
      <c r="G8" s="80"/>
      <c r="H8" s="80"/>
      <c r="I8" s="80"/>
      <c r="J8" s="80"/>
      <c r="K8" s="80"/>
      <c r="L8" s="80"/>
      <c r="M8" s="80"/>
      <c r="N8" s="80"/>
      <c r="O8" s="80"/>
      <c r="P8" s="85"/>
      <c r="Q8" s="86" t="s">
        <v>341</v>
      </c>
      <c r="R8" s="87"/>
      <c r="S8" s="87"/>
      <c r="T8" s="87"/>
      <c r="U8" s="87"/>
      <c r="V8" s="86" t="s">
        <v>342</v>
      </c>
      <c r="W8" s="88"/>
      <c r="X8" s="80"/>
      <c r="Y8" s="80"/>
      <c r="Z8" s="81"/>
    </row>
    <row r="9" spans="2:26" ht="14.25" thickBot="1">
      <c r="B9" s="79"/>
      <c r="C9" s="80"/>
      <c r="D9" s="80"/>
      <c r="E9" s="80"/>
      <c r="F9" s="80"/>
      <c r="G9" s="80"/>
      <c r="H9" s="80"/>
      <c r="I9" s="80"/>
      <c r="J9" s="80"/>
      <c r="K9" s="80"/>
      <c r="L9" s="80"/>
      <c r="M9" s="80"/>
      <c r="N9" s="80"/>
      <c r="O9" s="80"/>
      <c r="P9" s="80"/>
      <c r="Q9" s="80"/>
      <c r="R9" s="80"/>
      <c r="S9" s="83"/>
      <c r="T9" s="80"/>
      <c r="U9" s="80"/>
      <c r="V9" s="80"/>
      <c r="W9" s="80"/>
      <c r="X9" s="80"/>
      <c r="Y9" s="80"/>
      <c r="Z9" s="81"/>
    </row>
    <row r="10" spans="2:32" ht="13.5">
      <c r="B10" s="79"/>
      <c r="C10" s="80"/>
      <c r="D10" s="80"/>
      <c r="E10" s="80"/>
      <c r="F10" s="80"/>
      <c r="G10" s="80"/>
      <c r="H10" s="80"/>
      <c r="I10" s="80"/>
      <c r="J10" s="80"/>
      <c r="K10" s="80"/>
      <c r="L10" s="80"/>
      <c r="M10" s="80"/>
      <c r="N10" s="80"/>
      <c r="O10" s="80"/>
      <c r="P10" s="80"/>
      <c r="Q10" s="115"/>
      <c r="R10" s="116"/>
      <c r="S10" s="117"/>
      <c r="T10" s="116"/>
      <c r="U10" s="116"/>
      <c r="V10" s="116"/>
      <c r="W10" s="116"/>
      <c r="X10" s="116"/>
      <c r="Y10" s="116"/>
      <c r="Z10" s="118"/>
      <c r="AA10" s="96"/>
      <c r="AB10" s="96"/>
      <c r="AC10" s="96"/>
      <c r="AD10" s="96"/>
      <c r="AE10" s="96"/>
      <c r="AF10" s="97"/>
    </row>
    <row r="11" spans="2:32" ht="13.5">
      <c r="B11" s="79"/>
      <c r="C11" s="80"/>
      <c r="D11" s="80"/>
      <c r="E11" s="80"/>
      <c r="F11" s="80"/>
      <c r="G11" s="80"/>
      <c r="H11" s="80"/>
      <c r="I11" s="80"/>
      <c r="J11" s="80"/>
      <c r="K11" s="80"/>
      <c r="L11" s="80"/>
      <c r="M11" s="80"/>
      <c r="N11" s="80"/>
      <c r="O11" s="80"/>
      <c r="P11" s="80"/>
      <c r="Q11" s="119"/>
      <c r="R11" s="719" t="s">
        <v>338</v>
      </c>
      <c r="S11" s="720"/>
      <c r="T11" s="720"/>
      <c r="U11" s="721"/>
      <c r="V11" s="120"/>
      <c r="W11" s="120"/>
      <c r="X11" s="120"/>
      <c r="Y11" s="120"/>
      <c r="Z11" s="121"/>
      <c r="AA11" s="100"/>
      <c r="AB11" s="698" t="s">
        <v>339</v>
      </c>
      <c r="AC11" s="699"/>
      <c r="AD11" s="699"/>
      <c r="AE11" s="700"/>
      <c r="AF11" s="101"/>
    </row>
    <row r="12" spans="2:32" ht="13.5">
      <c r="B12" s="79"/>
      <c r="C12" s="80"/>
      <c r="D12" s="80"/>
      <c r="E12" s="80"/>
      <c r="F12" s="80"/>
      <c r="G12" s="80"/>
      <c r="H12" s="80"/>
      <c r="I12" s="80"/>
      <c r="J12" s="80"/>
      <c r="K12" s="80"/>
      <c r="L12" s="80"/>
      <c r="M12" s="80"/>
      <c r="N12" s="80"/>
      <c r="O12" s="80"/>
      <c r="P12" s="80"/>
      <c r="Q12" s="119"/>
      <c r="R12" s="722"/>
      <c r="S12" s="723"/>
      <c r="T12" s="723"/>
      <c r="U12" s="724"/>
      <c r="V12" s="120"/>
      <c r="W12" s="120"/>
      <c r="X12" s="120"/>
      <c r="Y12" s="120"/>
      <c r="Z12" s="121"/>
      <c r="AA12" s="100"/>
      <c r="AB12" s="701"/>
      <c r="AC12" s="702"/>
      <c r="AD12" s="702"/>
      <c r="AE12" s="703"/>
      <c r="AF12" s="101"/>
    </row>
    <row r="13" spans="2:32" ht="13.5">
      <c r="B13" s="79"/>
      <c r="C13" s="80"/>
      <c r="D13" s="80"/>
      <c r="E13" s="80"/>
      <c r="F13" s="80"/>
      <c r="G13" s="80"/>
      <c r="H13" s="80"/>
      <c r="I13" s="80"/>
      <c r="J13" s="80"/>
      <c r="K13" s="80"/>
      <c r="L13" s="80"/>
      <c r="M13" s="80"/>
      <c r="N13" s="80"/>
      <c r="O13" s="80"/>
      <c r="P13" s="80"/>
      <c r="Q13" s="119"/>
      <c r="R13" s="120"/>
      <c r="S13" s="122"/>
      <c r="T13" s="123"/>
      <c r="U13" s="120"/>
      <c r="V13" s="120"/>
      <c r="W13" s="120"/>
      <c r="X13" s="120"/>
      <c r="Y13" s="120"/>
      <c r="Z13" s="121"/>
      <c r="AA13" s="99"/>
      <c r="AB13" s="104"/>
      <c r="AC13" s="105"/>
      <c r="AD13" s="99"/>
      <c r="AE13" s="99"/>
      <c r="AF13" s="101"/>
    </row>
    <row r="14" spans="2:32" ht="13.5">
      <c r="B14" s="79"/>
      <c r="C14" s="80"/>
      <c r="D14" s="80"/>
      <c r="E14" s="80"/>
      <c r="F14" s="80"/>
      <c r="G14" s="80"/>
      <c r="H14" s="80"/>
      <c r="I14" s="80"/>
      <c r="J14" s="80"/>
      <c r="K14" s="80"/>
      <c r="L14" s="80"/>
      <c r="M14" s="87"/>
      <c r="N14" s="87"/>
      <c r="O14" s="87"/>
      <c r="P14" s="87"/>
      <c r="Q14" s="124"/>
      <c r="R14" s="125"/>
      <c r="S14" s="126"/>
      <c r="T14" s="127"/>
      <c r="U14" s="128" t="s">
        <v>341</v>
      </c>
      <c r="V14" s="125"/>
      <c r="W14" s="125"/>
      <c r="X14" s="125"/>
      <c r="Y14" s="125"/>
      <c r="Z14" s="129"/>
      <c r="AA14" s="106"/>
      <c r="AB14" s="109" t="s">
        <v>342</v>
      </c>
      <c r="AC14" s="107"/>
      <c r="AD14" s="99"/>
      <c r="AE14" s="99"/>
      <c r="AF14" s="101"/>
    </row>
    <row r="15" spans="2:32" ht="13.5">
      <c r="B15" s="79"/>
      <c r="C15" s="80"/>
      <c r="D15" s="80"/>
      <c r="E15" s="89"/>
      <c r="F15" s="90"/>
      <c r="G15" s="90"/>
      <c r="H15" s="90"/>
      <c r="I15" s="90"/>
      <c r="J15" s="91"/>
      <c r="K15" s="89"/>
      <c r="L15" s="90"/>
      <c r="M15" s="91"/>
      <c r="N15" s="80"/>
      <c r="O15" s="80"/>
      <c r="P15" s="80"/>
      <c r="Q15" s="119"/>
      <c r="R15" s="120"/>
      <c r="S15" s="120"/>
      <c r="T15" s="120"/>
      <c r="U15" s="120"/>
      <c r="V15" s="120"/>
      <c r="W15" s="122"/>
      <c r="X15" s="120"/>
      <c r="Y15" s="120"/>
      <c r="Z15" s="121"/>
      <c r="AA15" s="99"/>
      <c r="AB15" s="99"/>
      <c r="AC15" s="99"/>
      <c r="AD15" s="99"/>
      <c r="AE15" s="99"/>
      <c r="AF15" s="101"/>
    </row>
    <row r="16" spans="2:32" ht="14.25" thickBot="1">
      <c r="B16" s="79"/>
      <c r="C16" s="80"/>
      <c r="D16" s="80"/>
      <c r="E16" s="84"/>
      <c r="F16" s="80"/>
      <c r="G16" s="80"/>
      <c r="H16" s="80"/>
      <c r="I16" s="80"/>
      <c r="J16" s="83"/>
      <c r="K16" s="85"/>
      <c r="L16" s="87"/>
      <c r="M16" s="83"/>
      <c r="N16" s="80"/>
      <c r="O16" s="80"/>
      <c r="P16" s="80"/>
      <c r="Q16" s="119"/>
      <c r="R16" s="120"/>
      <c r="S16" s="120"/>
      <c r="T16" s="120"/>
      <c r="U16" s="120"/>
      <c r="V16" s="120"/>
      <c r="W16" s="122"/>
      <c r="X16" s="120"/>
      <c r="Y16" s="120"/>
      <c r="Z16" s="121"/>
      <c r="AA16" s="99"/>
      <c r="AB16" s="99"/>
      <c r="AC16" s="99"/>
      <c r="AD16" s="99"/>
      <c r="AE16" s="99"/>
      <c r="AF16" s="101"/>
    </row>
    <row r="17" spans="2:32" ht="14.25" thickTop="1">
      <c r="B17" s="79"/>
      <c r="C17" s="685" t="s">
        <v>343</v>
      </c>
      <c r="D17" s="686"/>
      <c r="E17" s="686"/>
      <c r="F17" s="687"/>
      <c r="G17" s="80"/>
      <c r="H17" s="80"/>
      <c r="I17" s="685" t="s">
        <v>344</v>
      </c>
      <c r="J17" s="686"/>
      <c r="K17" s="686"/>
      <c r="L17" s="687"/>
      <c r="M17" s="83"/>
      <c r="N17" s="80"/>
      <c r="O17" s="80"/>
      <c r="P17" s="80"/>
      <c r="Q17" s="119"/>
      <c r="R17" s="120"/>
      <c r="S17" s="120"/>
      <c r="T17" s="120"/>
      <c r="U17" s="120"/>
      <c r="V17" s="691" t="s">
        <v>345</v>
      </c>
      <c r="W17" s="692"/>
      <c r="X17" s="692"/>
      <c r="Y17" s="693"/>
      <c r="Z17" s="121"/>
      <c r="AA17" s="100"/>
      <c r="AB17" s="725" t="s">
        <v>347</v>
      </c>
      <c r="AC17" s="726"/>
      <c r="AD17" s="726"/>
      <c r="AE17" s="726"/>
      <c r="AF17" s="727"/>
    </row>
    <row r="18" spans="2:32" ht="14.25" thickBot="1">
      <c r="B18" s="79"/>
      <c r="C18" s="688"/>
      <c r="D18" s="689"/>
      <c r="E18" s="689"/>
      <c r="F18" s="690"/>
      <c r="G18" s="80"/>
      <c r="H18" s="80"/>
      <c r="I18" s="688"/>
      <c r="J18" s="689"/>
      <c r="K18" s="689"/>
      <c r="L18" s="690"/>
      <c r="M18" s="83"/>
      <c r="N18" s="80"/>
      <c r="O18" s="80"/>
      <c r="P18" s="80"/>
      <c r="Q18" s="119"/>
      <c r="R18" s="120"/>
      <c r="S18" s="120"/>
      <c r="T18" s="120"/>
      <c r="U18" s="120"/>
      <c r="V18" s="694"/>
      <c r="W18" s="695"/>
      <c r="X18" s="695"/>
      <c r="Y18" s="696"/>
      <c r="Z18" s="121"/>
      <c r="AA18" s="100"/>
      <c r="AB18" s="726"/>
      <c r="AC18" s="726"/>
      <c r="AD18" s="726"/>
      <c r="AE18" s="726"/>
      <c r="AF18" s="727"/>
    </row>
    <row r="19" spans="2:32" ht="14.25" thickTop="1">
      <c r="B19" s="79"/>
      <c r="C19" s="80"/>
      <c r="D19" s="80"/>
      <c r="E19" s="80"/>
      <c r="F19" s="80"/>
      <c r="G19" s="80"/>
      <c r="H19" s="80"/>
      <c r="I19" s="80"/>
      <c r="J19" s="91"/>
      <c r="K19" s="80"/>
      <c r="L19" s="80"/>
      <c r="M19" s="83"/>
      <c r="N19" s="80"/>
      <c r="O19" s="80"/>
      <c r="P19" s="80"/>
      <c r="Q19" s="119"/>
      <c r="R19" s="120"/>
      <c r="S19" s="120"/>
      <c r="T19" s="120"/>
      <c r="U19" s="120"/>
      <c r="V19" s="120"/>
      <c r="W19" s="122"/>
      <c r="X19" s="120"/>
      <c r="Y19" s="120"/>
      <c r="Z19" s="121"/>
      <c r="AA19" s="99"/>
      <c r="AB19" s="99"/>
      <c r="AC19" s="99"/>
      <c r="AD19" s="99"/>
      <c r="AE19" s="99"/>
      <c r="AF19" s="101"/>
    </row>
    <row r="20" spans="2:32" ht="13.5">
      <c r="B20" s="79"/>
      <c r="C20" s="80"/>
      <c r="D20" s="80"/>
      <c r="E20" s="80"/>
      <c r="F20" s="80"/>
      <c r="G20" s="80"/>
      <c r="H20" s="80"/>
      <c r="I20" s="80"/>
      <c r="J20" s="83"/>
      <c r="K20" s="80"/>
      <c r="L20" s="80"/>
      <c r="M20" s="83"/>
      <c r="N20" s="92" t="s">
        <v>346</v>
      </c>
      <c r="O20" s="80"/>
      <c r="P20" s="80"/>
      <c r="Q20" s="119"/>
      <c r="R20" s="120"/>
      <c r="S20" s="120"/>
      <c r="T20" s="125"/>
      <c r="U20" s="128"/>
      <c r="V20" s="125"/>
      <c r="W20" s="126"/>
      <c r="X20" s="125"/>
      <c r="Y20" s="125"/>
      <c r="Z20" s="130"/>
      <c r="AA20" s="106"/>
      <c r="AB20" s="99"/>
      <c r="AC20" s="99"/>
      <c r="AD20" s="99"/>
      <c r="AE20" s="99"/>
      <c r="AF20" s="101"/>
    </row>
    <row r="21" spans="2:32" ht="13.5">
      <c r="B21" s="79"/>
      <c r="C21" s="80"/>
      <c r="D21" s="80"/>
      <c r="E21" s="80"/>
      <c r="F21" s="80"/>
      <c r="G21" s="80"/>
      <c r="H21" s="89"/>
      <c r="I21" s="90"/>
      <c r="J21" s="90"/>
      <c r="K21" s="90"/>
      <c r="L21" s="90"/>
      <c r="M21" s="91"/>
      <c r="N21" s="80"/>
      <c r="O21" s="80"/>
      <c r="P21" s="80"/>
      <c r="Q21" s="119"/>
      <c r="R21" s="120"/>
      <c r="S21" s="122"/>
      <c r="T21" s="131"/>
      <c r="U21" s="131"/>
      <c r="V21" s="132"/>
      <c r="W21" s="133"/>
      <c r="X21" s="131"/>
      <c r="Y21" s="131"/>
      <c r="Z21" s="134"/>
      <c r="AA21" s="104"/>
      <c r="AB21" s="104"/>
      <c r="AC21" s="103"/>
      <c r="AD21" s="99"/>
      <c r="AE21" s="99"/>
      <c r="AF21" s="101"/>
    </row>
    <row r="22" spans="2:32" ht="13.5">
      <c r="B22" s="79"/>
      <c r="C22" s="80"/>
      <c r="D22" s="80"/>
      <c r="E22" s="80"/>
      <c r="F22" s="80"/>
      <c r="G22" s="80"/>
      <c r="H22" s="84"/>
      <c r="I22" s="80"/>
      <c r="J22" s="80"/>
      <c r="K22" s="80"/>
      <c r="L22" s="80"/>
      <c r="M22" s="88"/>
      <c r="N22" s="80"/>
      <c r="O22" s="80"/>
      <c r="P22" s="80"/>
      <c r="Q22" s="119"/>
      <c r="R22" s="120"/>
      <c r="S22" s="122"/>
      <c r="T22" s="120"/>
      <c r="U22" s="120"/>
      <c r="V22" s="122"/>
      <c r="W22" s="123"/>
      <c r="X22" s="120"/>
      <c r="Y22" s="120"/>
      <c r="Z22" s="121"/>
      <c r="AA22" s="99"/>
      <c r="AB22" s="99"/>
      <c r="AC22" s="108"/>
      <c r="AD22" s="106"/>
      <c r="AE22" s="99"/>
      <c r="AF22" s="101"/>
    </row>
    <row r="23" spans="2:32" ht="13.5">
      <c r="B23" s="79"/>
      <c r="C23" s="80"/>
      <c r="D23" s="80"/>
      <c r="E23" s="80"/>
      <c r="F23" s="685" t="s">
        <v>344</v>
      </c>
      <c r="G23" s="686"/>
      <c r="H23" s="686"/>
      <c r="I23" s="687"/>
      <c r="J23" s="80"/>
      <c r="K23" s="80"/>
      <c r="L23" s="685" t="s">
        <v>344</v>
      </c>
      <c r="M23" s="686"/>
      <c r="N23" s="686"/>
      <c r="O23" s="687"/>
      <c r="P23" s="80"/>
      <c r="Q23" s="119"/>
      <c r="R23" s="120"/>
      <c r="S23" s="122"/>
      <c r="T23" s="120"/>
      <c r="U23" s="719" t="s">
        <v>344</v>
      </c>
      <c r="V23" s="720"/>
      <c r="W23" s="720"/>
      <c r="X23" s="721"/>
      <c r="Y23" s="120"/>
      <c r="Z23" s="121"/>
      <c r="AA23" s="100"/>
      <c r="AB23" s="698" t="s">
        <v>343</v>
      </c>
      <c r="AC23" s="699"/>
      <c r="AD23" s="699"/>
      <c r="AE23" s="700"/>
      <c r="AF23" s="101"/>
    </row>
    <row r="24" spans="2:32" ht="13.5">
      <c r="B24" s="79"/>
      <c r="C24" s="80"/>
      <c r="D24" s="80"/>
      <c r="E24" s="80"/>
      <c r="F24" s="688"/>
      <c r="G24" s="689"/>
      <c r="H24" s="689"/>
      <c r="I24" s="690"/>
      <c r="J24" s="80"/>
      <c r="K24" s="80"/>
      <c r="L24" s="688"/>
      <c r="M24" s="689"/>
      <c r="N24" s="689"/>
      <c r="O24" s="690"/>
      <c r="P24" s="80"/>
      <c r="Q24" s="119"/>
      <c r="R24" s="120"/>
      <c r="S24" s="122"/>
      <c r="T24" s="120"/>
      <c r="U24" s="722"/>
      <c r="V24" s="723"/>
      <c r="W24" s="723"/>
      <c r="X24" s="724"/>
      <c r="Y24" s="120"/>
      <c r="Z24" s="121"/>
      <c r="AA24" s="100"/>
      <c r="AB24" s="701"/>
      <c r="AC24" s="702"/>
      <c r="AD24" s="702"/>
      <c r="AE24" s="703"/>
      <c r="AF24" s="101"/>
    </row>
    <row r="25" spans="2:32" ht="13.5">
      <c r="B25" s="93"/>
      <c r="C25" s="94"/>
      <c r="D25" s="94"/>
      <c r="E25" s="94"/>
      <c r="F25" s="94"/>
      <c r="G25" s="94"/>
      <c r="H25" s="94"/>
      <c r="I25" s="94"/>
      <c r="J25" s="94"/>
      <c r="K25" s="94"/>
      <c r="L25" s="94"/>
      <c r="M25" s="94"/>
      <c r="N25" s="94"/>
      <c r="O25" s="94"/>
      <c r="P25" s="95"/>
      <c r="Q25" s="135"/>
      <c r="R25" s="136"/>
      <c r="S25" s="137"/>
      <c r="T25" s="136"/>
      <c r="U25" s="136"/>
      <c r="V25" s="137"/>
      <c r="W25" s="138"/>
      <c r="X25" s="136"/>
      <c r="Y25" s="136"/>
      <c r="Z25" s="139"/>
      <c r="AA25" s="99"/>
      <c r="AB25" s="99"/>
      <c r="AC25" s="99"/>
      <c r="AD25" s="99"/>
      <c r="AE25" s="99"/>
      <c r="AF25" s="101"/>
    </row>
    <row r="26" spans="14:32" ht="13.5">
      <c r="N26" s="75"/>
      <c r="Q26" s="98"/>
      <c r="R26" s="99"/>
      <c r="S26" s="111" t="s">
        <v>346</v>
      </c>
      <c r="T26" s="99"/>
      <c r="U26" s="99"/>
      <c r="V26" s="102"/>
      <c r="W26" s="99"/>
      <c r="X26" s="99"/>
      <c r="Y26" s="99"/>
      <c r="Z26" s="99"/>
      <c r="AA26" s="99"/>
      <c r="AB26" s="99"/>
      <c r="AC26" s="99"/>
      <c r="AD26" s="99"/>
      <c r="AE26" s="99"/>
      <c r="AF26" s="101"/>
    </row>
    <row r="27" spans="14:32" ht="13.5">
      <c r="N27" s="75"/>
      <c r="Q27" s="98"/>
      <c r="R27" s="99"/>
      <c r="S27" s="99"/>
      <c r="T27" s="110"/>
      <c r="U27" s="104"/>
      <c r="V27" s="104"/>
      <c r="W27" s="104"/>
      <c r="X27" s="104"/>
      <c r="Y27" s="105"/>
      <c r="Z27" s="99"/>
      <c r="AA27" s="99"/>
      <c r="AB27" s="99"/>
      <c r="AC27" s="99"/>
      <c r="AD27" s="99"/>
      <c r="AE27" s="99"/>
      <c r="AF27" s="101"/>
    </row>
    <row r="28" spans="14:32" ht="13.5">
      <c r="N28" s="75"/>
      <c r="Q28" s="98"/>
      <c r="R28" s="99"/>
      <c r="S28" s="99"/>
      <c r="T28" s="103"/>
      <c r="U28" s="99"/>
      <c r="V28" s="99"/>
      <c r="W28" s="99"/>
      <c r="X28" s="99"/>
      <c r="Y28" s="102"/>
      <c r="Z28" s="99"/>
      <c r="AA28" s="99"/>
      <c r="AB28" s="99"/>
      <c r="AC28" s="99"/>
      <c r="AD28" s="99"/>
      <c r="AE28" s="99"/>
      <c r="AF28" s="101"/>
    </row>
    <row r="29" spans="17:32" ht="13.5">
      <c r="Q29" s="98"/>
      <c r="R29" s="698" t="s">
        <v>344</v>
      </c>
      <c r="S29" s="699"/>
      <c r="T29" s="699"/>
      <c r="U29" s="700"/>
      <c r="V29" s="99"/>
      <c r="W29" s="99"/>
      <c r="X29" s="698" t="s">
        <v>344</v>
      </c>
      <c r="Y29" s="699"/>
      <c r="Z29" s="699"/>
      <c r="AA29" s="700"/>
      <c r="AB29" s="99"/>
      <c r="AC29" s="99"/>
      <c r="AD29" s="99"/>
      <c r="AE29" s="99"/>
      <c r="AF29" s="101"/>
    </row>
    <row r="30" spans="17:32" ht="13.5">
      <c r="Q30" s="98"/>
      <c r="R30" s="701"/>
      <c r="S30" s="702"/>
      <c r="T30" s="702"/>
      <c r="U30" s="703"/>
      <c r="V30" s="99"/>
      <c r="W30" s="99"/>
      <c r="X30" s="701"/>
      <c r="Y30" s="702"/>
      <c r="Z30" s="702"/>
      <c r="AA30" s="703"/>
      <c r="AB30" s="99"/>
      <c r="AC30" s="99"/>
      <c r="AD30" s="99"/>
      <c r="AE30" s="99"/>
      <c r="AF30" s="101"/>
    </row>
    <row r="31" spans="17:32" ht="14.25" thickBot="1">
      <c r="Q31" s="112"/>
      <c r="R31" s="113"/>
      <c r="S31" s="113"/>
      <c r="T31" s="113"/>
      <c r="U31" s="113"/>
      <c r="V31" s="113"/>
      <c r="W31" s="113"/>
      <c r="X31" s="113"/>
      <c r="Y31" s="113"/>
      <c r="Z31" s="113"/>
      <c r="AA31" s="113"/>
      <c r="AB31" s="113"/>
      <c r="AC31" s="113"/>
      <c r="AD31" s="113"/>
      <c r="AE31" s="113"/>
      <c r="AF31" s="114"/>
    </row>
    <row r="33" spans="2:32" ht="13.5">
      <c r="B33" s="710" t="s">
        <v>480</v>
      </c>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2"/>
    </row>
    <row r="34" spans="2:32" ht="13.5" customHeight="1">
      <c r="B34" s="713"/>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5"/>
    </row>
    <row r="35" spans="2:32" ht="13.5">
      <c r="B35" s="713"/>
      <c r="C35" s="714"/>
      <c r="D35" s="714"/>
      <c r="E35" s="714"/>
      <c r="F35" s="714"/>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5"/>
    </row>
    <row r="36" spans="2:32" ht="13.5">
      <c r="B36" s="713"/>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5"/>
    </row>
    <row r="37" spans="2:32" ht="13.5">
      <c r="B37" s="716"/>
      <c r="C37" s="717"/>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8"/>
    </row>
    <row r="39" spans="2:32" ht="12.75" customHeight="1">
      <c r="B39" s="704" t="s">
        <v>351</v>
      </c>
      <c r="C39" s="705"/>
      <c r="D39" s="705"/>
      <c r="E39" s="705"/>
      <c r="F39" s="705"/>
      <c r="G39" s="705"/>
      <c r="H39" s="705"/>
      <c r="I39" s="705"/>
      <c r="J39" s="705"/>
      <c r="K39" s="705"/>
      <c r="L39" s="705"/>
      <c r="M39" s="705"/>
      <c r="N39" s="705"/>
      <c r="O39" s="705"/>
      <c r="P39" s="706"/>
      <c r="R39" s="704" t="s">
        <v>352</v>
      </c>
      <c r="S39" s="705"/>
      <c r="T39" s="705"/>
      <c r="U39" s="705"/>
      <c r="V39" s="705"/>
      <c r="W39" s="705"/>
      <c r="X39" s="705"/>
      <c r="Y39" s="705"/>
      <c r="Z39" s="705"/>
      <c r="AA39" s="705"/>
      <c r="AB39" s="705"/>
      <c r="AC39" s="705"/>
      <c r="AD39" s="705"/>
      <c r="AE39" s="705"/>
      <c r="AF39" s="706"/>
    </row>
    <row r="40" spans="2:32" ht="12.75" customHeight="1">
      <c r="B40" s="707"/>
      <c r="C40" s="708"/>
      <c r="D40" s="708"/>
      <c r="E40" s="708"/>
      <c r="F40" s="708"/>
      <c r="G40" s="708"/>
      <c r="H40" s="708"/>
      <c r="I40" s="708"/>
      <c r="J40" s="708"/>
      <c r="K40" s="708"/>
      <c r="L40" s="708"/>
      <c r="M40" s="708"/>
      <c r="N40" s="708"/>
      <c r="O40" s="708"/>
      <c r="P40" s="709"/>
      <c r="R40" s="707"/>
      <c r="S40" s="708"/>
      <c r="T40" s="708"/>
      <c r="U40" s="708"/>
      <c r="V40" s="708"/>
      <c r="W40" s="708"/>
      <c r="X40" s="708"/>
      <c r="Y40" s="708"/>
      <c r="Z40" s="708"/>
      <c r="AA40" s="708"/>
      <c r="AB40" s="708"/>
      <c r="AC40" s="708"/>
      <c r="AD40" s="708"/>
      <c r="AE40" s="708"/>
      <c r="AF40" s="709"/>
    </row>
    <row r="41" spans="2:32" ht="12.75" customHeight="1">
      <c r="B41" s="707"/>
      <c r="C41" s="708"/>
      <c r="D41" s="708"/>
      <c r="E41" s="708"/>
      <c r="F41" s="708"/>
      <c r="G41" s="708"/>
      <c r="H41" s="708"/>
      <c r="I41" s="708"/>
      <c r="J41" s="708"/>
      <c r="K41" s="708"/>
      <c r="L41" s="708"/>
      <c r="M41" s="708"/>
      <c r="N41" s="708"/>
      <c r="O41" s="708"/>
      <c r="P41" s="709"/>
      <c r="R41" s="707"/>
      <c r="S41" s="708"/>
      <c r="T41" s="708"/>
      <c r="U41" s="708"/>
      <c r="V41" s="708"/>
      <c r="W41" s="708"/>
      <c r="X41" s="708"/>
      <c r="Y41" s="708"/>
      <c r="Z41" s="708"/>
      <c r="AA41" s="708"/>
      <c r="AB41" s="708"/>
      <c r="AC41" s="708"/>
      <c r="AD41" s="708"/>
      <c r="AE41" s="708"/>
      <c r="AF41" s="709"/>
    </row>
    <row r="42" spans="2:32" ht="12.75" customHeight="1">
      <c r="B42" s="707"/>
      <c r="C42" s="708"/>
      <c r="D42" s="708"/>
      <c r="E42" s="708"/>
      <c r="F42" s="708"/>
      <c r="G42" s="708"/>
      <c r="H42" s="708"/>
      <c r="I42" s="708"/>
      <c r="J42" s="708"/>
      <c r="K42" s="708"/>
      <c r="L42" s="708"/>
      <c r="M42" s="708"/>
      <c r="N42" s="708"/>
      <c r="O42" s="708"/>
      <c r="P42" s="709"/>
      <c r="R42" s="707"/>
      <c r="S42" s="708"/>
      <c r="T42" s="708"/>
      <c r="U42" s="708"/>
      <c r="V42" s="708"/>
      <c r="W42" s="708"/>
      <c r="X42" s="708"/>
      <c r="Y42" s="708"/>
      <c r="Z42" s="708"/>
      <c r="AA42" s="708"/>
      <c r="AB42" s="708"/>
      <c r="AC42" s="708"/>
      <c r="AD42" s="708"/>
      <c r="AE42" s="708"/>
      <c r="AF42" s="709"/>
    </row>
    <row r="43" spans="2:32" ht="12.75" customHeight="1">
      <c r="B43" s="707"/>
      <c r="C43" s="708"/>
      <c r="D43" s="708"/>
      <c r="E43" s="708"/>
      <c r="F43" s="708"/>
      <c r="G43" s="708"/>
      <c r="H43" s="708"/>
      <c r="I43" s="708"/>
      <c r="J43" s="708"/>
      <c r="K43" s="708"/>
      <c r="L43" s="708"/>
      <c r="M43" s="708"/>
      <c r="N43" s="708"/>
      <c r="O43" s="708"/>
      <c r="P43" s="709"/>
      <c r="R43" s="707"/>
      <c r="S43" s="708"/>
      <c r="T43" s="708"/>
      <c r="U43" s="708"/>
      <c r="V43" s="708"/>
      <c r="W43" s="708"/>
      <c r="X43" s="708"/>
      <c r="Y43" s="708"/>
      <c r="Z43" s="708"/>
      <c r="AA43" s="708"/>
      <c r="AB43" s="708"/>
      <c r="AC43" s="708"/>
      <c r="AD43" s="708"/>
      <c r="AE43" s="708"/>
      <c r="AF43" s="709"/>
    </row>
    <row r="44" spans="2:32" ht="12.75" customHeight="1">
      <c r="B44" s="707"/>
      <c r="C44" s="708"/>
      <c r="D44" s="708"/>
      <c r="E44" s="708"/>
      <c r="F44" s="708"/>
      <c r="G44" s="708"/>
      <c r="H44" s="708"/>
      <c r="I44" s="708"/>
      <c r="J44" s="708"/>
      <c r="K44" s="708"/>
      <c r="L44" s="708"/>
      <c r="M44" s="708"/>
      <c r="N44" s="708"/>
      <c r="O44" s="708"/>
      <c r="P44" s="709"/>
      <c r="R44" s="707"/>
      <c r="S44" s="708"/>
      <c r="T44" s="708"/>
      <c r="U44" s="708"/>
      <c r="V44" s="708"/>
      <c r="W44" s="708"/>
      <c r="X44" s="708"/>
      <c r="Y44" s="708"/>
      <c r="Z44" s="708"/>
      <c r="AA44" s="708"/>
      <c r="AB44" s="708"/>
      <c r="AC44" s="708"/>
      <c r="AD44" s="708"/>
      <c r="AE44" s="708"/>
      <c r="AF44" s="709"/>
    </row>
    <row r="45" spans="2:32" ht="12.75" customHeight="1">
      <c r="B45" s="707"/>
      <c r="C45" s="708"/>
      <c r="D45" s="708"/>
      <c r="E45" s="708"/>
      <c r="F45" s="708"/>
      <c r="G45" s="708"/>
      <c r="H45" s="708"/>
      <c r="I45" s="708"/>
      <c r="J45" s="708"/>
      <c r="K45" s="708"/>
      <c r="L45" s="708"/>
      <c r="M45" s="708"/>
      <c r="N45" s="708"/>
      <c r="O45" s="708"/>
      <c r="P45" s="709"/>
      <c r="R45" s="707"/>
      <c r="S45" s="708"/>
      <c r="T45" s="708"/>
      <c r="U45" s="708"/>
      <c r="V45" s="708"/>
      <c r="W45" s="708"/>
      <c r="X45" s="708"/>
      <c r="Y45" s="708"/>
      <c r="Z45" s="708"/>
      <c r="AA45" s="708"/>
      <c r="AB45" s="708"/>
      <c r="AC45" s="708"/>
      <c r="AD45" s="708"/>
      <c r="AE45" s="708"/>
      <c r="AF45" s="709"/>
    </row>
    <row r="46" spans="2:32" ht="12.75" customHeight="1">
      <c r="B46" s="707"/>
      <c r="C46" s="708"/>
      <c r="D46" s="708"/>
      <c r="E46" s="708"/>
      <c r="F46" s="708"/>
      <c r="G46" s="708"/>
      <c r="H46" s="708"/>
      <c r="I46" s="708"/>
      <c r="J46" s="708"/>
      <c r="K46" s="708"/>
      <c r="L46" s="708"/>
      <c r="M46" s="708"/>
      <c r="N46" s="708"/>
      <c r="O46" s="708"/>
      <c r="P46" s="709"/>
      <c r="R46" s="707"/>
      <c r="S46" s="708"/>
      <c r="T46" s="708"/>
      <c r="U46" s="708"/>
      <c r="V46" s="708"/>
      <c r="W46" s="708"/>
      <c r="X46" s="708"/>
      <c r="Y46" s="708"/>
      <c r="Z46" s="708"/>
      <c r="AA46" s="708"/>
      <c r="AB46" s="708"/>
      <c r="AC46" s="708"/>
      <c r="AD46" s="708"/>
      <c r="AE46" s="708"/>
      <c r="AF46" s="709"/>
    </row>
    <row r="47" spans="2:32" ht="12.75" customHeight="1">
      <c r="B47" s="707"/>
      <c r="C47" s="708"/>
      <c r="D47" s="708"/>
      <c r="E47" s="708"/>
      <c r="F47" s="708"/>
      <c r="G47" s="708"/>
      <c r="H47" s="708"/>
      <c r="I47" s="708"/>
      <c r="J47" s="708"/>
      <c r="K47" s="708"/>
      <c r="L47" s="708"/>
      <c r="M47" s="708"/>
      <c r="N47" s="708"/>
      <c r="O47" s="708"/>
      <c r="P47" s="709"/>
      <c r="R47" s="707"/>
      <c r="S47" s="708"/>
      <c r="T47" s="708"/>
      <c r="U47" s="708"/>
      <c r="V47" s="708"/>
      <c r="W47" s="708"/>
      <c r="X47" s="708"/>
      <c r="Y47" s="708"/>
      <c r="Z47" s="708"/>
      <c r="AA47" s="708"/>
      <c r="AB47" s="708"/>
      <c r="AC47" s="708"/>
      <c r="AD47" s="708"/>
      <c r="AE47" s="708"/>
      <c r="AF47" s="709"/>
    </row>
    <row r="48" spans="2:32" ht="12.75" customHeight="1">
      <c r="B48" s="707"/>
      <c r="C48" s="708"/>
      <c r="D48" s="708"/>
      <c r="E48" s="708"/>
      <c r="F48" s="708"/>
      <c r="G48" s="708"/>
      <c r="H48" s="708"/>
      <c r="I48" s="708"/>
      <c r="J48" s="708"/>
      <c r="K48" s="708"/>
      <c r="L48" s="708"/>
      <c r="M48" s="708"/>
      <c r="N48" s="708"/>
      <c r="O48" s="708"/>
      <c r="P48" s="709"/>
      <c r="R48" s="707"/>
      <c r="S48" s="708"/>
      <c r="T48" s="708"/>
      <c r="U48" s="708"/>
      <c r="V48" s="708"/>
      <c r="W48" s="708"/>
      <c r="X48" s="708"/>
      <c r="Y48" s="708"/>
      <c r="Z48" s="708"/>
      <c r="AA48" s="708"/>
      <c r="AB48" s="708"/>
      <c r="AC48" s="708"/>
      <c r="AD48" s="708"/>
      <c r="AE48" s="708"/>
      <c r="AF48" s="709"/>
    </row>
    <row r="49" spans="2:32" ht="12.75" customHeight="1">
      <c r="B49" s="707"/>
      <c r="C49" s="708"/>
      <c r="D49" s="708"/>
      <c r="E49" s="708"/>
      <c r="F49" s="708"/>
      <c r="G49" s="708"/>
      <c r="H49" s="708"/>
      <c r="I49" s="708"/>
      <c r="J49" s="708"/>
      <c r="K49" s="708"/>
      <c r="L49" s="708"/>
      <c r="M49" s="708"/>
      <c r="N49" s="708"/>
      <c r="O49" s="708"/>
      <c r="P49" s="709"/>
      <c r="R49" s="707"/>
      <c r="S49" s="708"/>
      <c r="T49" s="708"/>
      <c r="U49" s="708"/>
      <c r="V49" s="708"/>
      <c r="W49" s="708"/>
      <c r="X49" s="708"/>
      <c r="Y49" s="708"/>
      <c r="Z49" s="708"/>
      <c r="AA49" s="708"/>
      <c r="AB49" s="708"/>
      <c r="AC49" s="708"/>
      <c r="AD49" s="708"/>
      <c r="AE49" s="708"/>
      <c r="AF49" s="709"/>
    </row>
    <row r="50" spans="2:32" ht="12.75" customHeight="1">
      <c r="B50" s="707"/>
      <c r="C50" s="708"/>
      <c r="D50" s="708"/>
      <c r="E50" s="708"/>
      <c r="F50" s="708"/>
      <c r="G50" s="708"/>
      <c r="H50" s="708"/>
      <c r="I50" s="708"/>
      <c r="J50" s="708"/>
      <c r="K50" s="708"/>
      <c r="L50" s="708"/>
      <c r="M50" s="708"/>
      <c r="N50" s="708"/>
      <c r="O50" s="708"/>
      <c r="P50" s="709"/>
      <c r="R50" s="707"/>
      <c r="S50" s="708"/>
      <c r="T50" s="708"/>
      <c r="U50" s="708"/>
      <c r="V50" s="708"/>
      <c r="W50" s="708"/>
      <c r="X50" s="708"/>
      <c r="Y50" s="708"/>
      <c r="Z50" s="708"/>
      <c r="AA50" s="708"/>
      <c r="AB50" s="708"/>
      <c r="AC50" s="708"/>
      <c r="AD50" s="708"/>
      <c r="AE50" s="708"/>
      <c r="AF50" s="709"/>
    </row>
    <row r="51" spans="2:32" ht="12.75" customHeight="1">
      <c r="B51" s="707"/>
      <c r="C51" s="708"/>
      <c r="D51" s="708"/>
      <c r="E51" s="708"/>
      <c r="F51" s="708"/>
      <c r="G51" s="708"/>
      <c r="H51" s="708"/>
      <c r="I51" s="708"/>
      <c r="J51" s="708"/>
      <c r="K51" s="708"/>
      <c r="L51" s="708"/>
      <c r="M51" s="708"/>
      <c r="N51" s="708"/>
      <c r="O51" s="708"/>
      <c r="P51" s="709"/>
      <c r="R51" s="707"/>
      <c r="S51" s="708"/>
      <c r="T51" s="708"/>
      <c r="U51" s="708"/>
      <c r="V51" s="708"/>
      <c r="W51" s="708"/>
      <c r="X51" s="708"/>
      <c r="Y51" s="708"/>
      <c r="Z51" s="708"/>
      <c r="AA51" s="708"/>
      <c r="AB51" s="708"/>
      <c r="AC51" s="708"/>
      <c r="AD51" s="708"/>
      <c r="AE51" s="708"/>
      <c r="AF51" s="709"/>
    </row>
    <row r="52" spans="2:32" ht="12.75" customHeight="1">
      <c r="B52" s="707"/>
      <c r="C52" s="708"/>
      <c r="D52" s="708"/>
      <c r="E52" s="708"/>
      <c r="F52" s="708"/>
      <c r="G52" s="708"/>
      <c r="H52" s="708"/>
      <c r="I52" s="708"/>
      <c r="J52" s="708"/>
      <c r="K52" s="708"/>
      <c r="L52" s="708"/>
      <c r="M52" s="708"/>
      <c r="N52" s="708"/>
      <c r="O52" s="708"/>
      <c r="P52" s="709"/>
      <c r="R52" s="707"/>
      <c r="S52" s="708"/>
      <c r="T52" s="708"/>
      <c r="U52" s="708"/>
      <c r="V52" s="708"/>
      <c r="W52" s="708"/>
      <c r="X52" s="708"/>
      <c r="Y52" s="708"/>
      <c r="Z52" s="708"/>
      <c r="AA52" s="708"/>
      <c r="AB52" s="708"/>
      <c r="AC52" s="708"/>
      <c r="AD52" s="708"/>
      <c r="AE52" s="708"/>
      <c r="AF52" s="709"/>
    </row>
    <row r="53" spans="2:32" ht="12.75" customHeight="1">
      <c r="B53" s="707"/>
      <c r="C53" s="708"/>
      <c r="D53" s="708"/>
      <c r="E53" s="708"/>
      <c r="F53" s="708"/>
      <c r="G53" s="708"/>
      <c r="H53" s="708"/>
      <c r="I53" s="708"/>
      <c r="J53" s="708"/>
      <c r="K53" s="708"/>
      <c r="L53" s="708"/>
      <c r="M53" s="708"/>
      <c r="N53" s="708"/>
      <c r="O53" s="708"/>
      <c r="P53" s="709"/>
      <c r="R53" s="707"/>
      <c r="S53" s="708"/>
      <c r="T53" s="708"/>
      <c r="U53" s="708"/>
      <c r="V53" s="708"/>
      <c r="W53" s="708"/>
      <c r="X53" s="708"/>
      <c r="Y53" s="708"/>
      <c r="Z53" s="708"/>
      <c r="AA53" s="708"/>
      <c r="AB53" s="708"/>
      <c r="AC53" s="708"/>
      <c r="AD53" s="708"/>
      <c r="AE53" s="708"/>
      <c r="AF53" s="709"/>
    </row>
    <row r="54" spans="2:32" ht="12.75" customHeight="1">
      <c r="B54" s="707"/>
      <c r="C54" s="708"/>
      <c r="D54" s="708"/>
      <c r="E54" s="708"/>
      <c r="F54" s="708"/>
      <c r="G54" s="708"/>
      <c r="H54" s="708"/>
      <c r="I54" s="708"/>
      <c r="J54" s="708"/>
      <c r="K54" s="708"/>
      <c r="L54" s="708"/>
      <c r="M54" s="708"/>
      <c r="N54" s="708"/>
      <c r="O54" s="708"/>
      <c r="P54" s="709"/>
      <c r="R54" s="707"/>
      <c r="S54" s="708"/>
      <c r="T54" s="708"/>
      <c r="U54" s="708"/>
      <c r="V54" s="708"/>
      <c r="W54" s="708"/>
      <c r="X54" s="708"/>
      <c r="Y54" s="708"/>
      <c r="Z54" s="708"/>
      <c r="AA54" s="708"/>
      <c r="AB54" s="708"/>
      <c r="AC54" s="708"/>
      <c r="AD54" s="708"/>
      <c r="AE54" s="708"/>
      <c r="AF54" s="709"/>
    </row>
    <row r="55" spans="2:32" ht="13.5">
      <c r="B55" s="140"/>
      <c r="C55" s="140"/>
      <c r="D55" s="140"/>
      <c r="E55" s="140"/>
      <c r="F55" s="140"/>
      <c r="G55" s="140"/>
      <c r="H55" s="140"/>
      <c r="I55" s="140"/>
      <c r="J55" s="140"/>
      <c r="K55" s="140"/>
      <c r="L55" s="140"/>
      <c r="M55" s="140"/>
      <c r="N55" s="140"/>
      <c r="O55" s="140"/>
      <c r="P55" s="140"/>
      <c r="R55" s="140"/>
      <c r="S55" s="140"/>
      <c r="T55" s="140"/>
      <c r="U55" s="140"/>
      <c r="V55" s="140"/>
      <c r="W55" s="140"/>
      <c r="X55" s="140"/>
      <c r="Y55" s="140"/>
      <c r="Z55" s="140"/>
      <c r="AA55" s="140"/>
      <c r="AB55" s="140"/>
      <c r="AC55" s="140"/>
      <c r="AD55" s="140"/>
      <c r="AE55" s="140"/>
      <c r="AF55" s="140"/>
    </row>
    <row r="56" spans="1:33" ht="13.5" customHeight="1">
      <c r="A56" s="697" t="s">
        <v>348</v>
      </c>
      <c r="B56" s="697"/>
      <c r="C56" s="697"/>
      <c r="D56" s="697"/>
      <c r="E56" s="697"/>
      <c r="F56" s="697"/>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row>
    <row r="57" spans="2:32" ht="13.5">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row>
  </sheetData>
  <sheetProtection password="8769" sheet="1" objects="1" scenarios="1" selectLockedCells="1"/>
  <mergeCells count="20">
    <mergeCell ref="R11:U12"/>
    <mergeCell ref="AB23:AE24"/>
    <mergeCell ref="AB17:AF18"/>
    <mergeCell ref="U23:X24"/>
    <mergeCell ref="AB2:AF2"/>
    <mergeCell ref="F23:I24"/>
    <mergeCell ref="L23:O24"/>
    <mergeCell ref="AB3:AF3"/>
    <mergeCell ref="V5:Y6"/>
    <mergeCell ref="AB11:AE12"/>
    <mergeCell ref="C17:F18"/>
    <mergeCell ref="I17:L18"/>
    <mergeCell ref="V17:Y18"/>
    <mergeCell ref="N5:Q6"/>
    <mergeCell ref="A56:AG56"/>
    <mergeCell ref="R29:U30"/>
    <mergeCell ref="B39:P54"/>
    <mergeCell ref="R39:AF54"/>
    <mergeCell ref="B33:AF37"/>
    <mergeCell ref="X29:AA30"/>
  </mergeCells>
  <hyperlinks>
    <hyperlink ref="A56:AG56" r:id="rId1" display="（⇒「財務諸表等の用語、様式及び作成方法に関する規則」（昭和38年大蔵省令第59号）第８条を参照）"/>
    <hyperlink ref="AB2:AF2" location="別紙様式２４!G74" display="「目次」へ戻る"/>
    <hyperlink ref="AB3:AF3" location="別紙様式２４!H103" display="「表１」へ戻る"/>
  </hyperlinks>
  <printOptions/>
  <pageMargins left="0.6299212598425197"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白木 敏彦</dc:creator>
  <cp:keywords/>
  <dc:description/>
  <cp:lastModifiedBy>鹿児島県</cp:lastModifiedBy>
  <cp:lastPrinted>2022-01-21T05:46:18Z</cp:lastPrinted>
  <dcterms:created xsi:type="dcterms:W3CDTF">2010-06-10T07:35:12Z</dcterms:created>
  <dcterms:modified xsi:type="dcterms:W3CDTF">2022-03-01T06:17:46Z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